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2017 novo\FINANCIJSKI PLAN\OBJAVA FINANCIJSKOG PLANA\"/>
    </mc:Choice>
  </mc:AlternateContent>
  <bookViews>
    <workbookView xWindow="0" yWindow="0" windowWidth="28800" windowHeight="10980" activeTab="2"/>
  </bookViews>
  <sheets>
    <sheet name="izvor 11+12" sheetId="1" r:id="rId1"/>
    <sheet name="ostali izvori" sheetId="2" r:id="rId2"/>
    <sheet name="rekapitulacija za sve izvore" sheetId="3" r:id="rId3"/>
  </sheets>
  <externalReferences>
    <externalReference r:id="rId4"/>
  </externalReferences>
  <definedNames>
    <definedName name="_xlnm._FilterDatabase" localSheetId="1" hidden="1">'ostali izvori'!$A$5:$K$613</definedName>
    <definedName name="_xlnm.Print_Titles" localSheetId="0">'izvor 11+12'!$5:$5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3" i="1" l="1"/>
  <c r="H162" i="1"/>
  <c r="H268" i="1" l="1"/>
  <c r="H269" i="1"/>
  <c r="M619" i="2"/>
  <c r="H419" i="2" l="1"/>
  <c r="J503" i="2" l="1"/>
  <c r="J326" i="2"/>
  <c r="J289" i="1"/>
  <c r="J303" i="2"/>
  <c r="J269" i="1"/>
  <c r="H503" i="2"/>
  <c r="H326" i="2"/>
  <c r="H289" i="1"/>
  <c r="H304" i="2"/>
  <c r="H303" i="2"/>
  <c r="L290" i="2"/>
  <c r="H302" i="2"/>
  <c r="J38" i="2" l="1"/>
  <c r="K38" i="2"/>
  <c r="H38" i="2"/>
  <c r="H285" i="2" l="1"/>
  <c r="K299" i="2" l="1"/>
  <c r="K306" i="2"/>
  <c r="J306" i="2"/>
  <c r="K301" i="2"/>
  <c r="H299" i="2"/>
  <c r="H301" i="2"/>
  <c r="K300" i="2"/>
  <c r="D298" i="2"/>
  <c r="E298" i="2"/>
  <c r="F298" i="2"/>
  <c r="G298" i="2"/>
  <c r="C298" i="2"/>
  <c r="K303" i="2"/>
  <c r="J298" i="2"/>
  <c r="D138" i="2"/>
  <c r="E138" i="2"/>
  <c r="F138" i="2"/>
  <c r="G138" i="2"/>
  <c r="H138" i="2"/>
  <c r="C138" i="2"/>
  <c r="I145" i="2"/>
  <c r="K139" i="2"/>
  <c r="K138" i="2" s="1"/>
  <c r="J139" i="2"/>
  <c r="J138" i="2" s="1"/>
  <c r="H139" i="2"/>
  <c r="K137" i="2"/>
  <c r="C147" i="2"/>
  <c r="D147" i="2"/>
  <c r="E147" i="2"/>
  <c r="F147" i="2"/>
  <c r="G147" i="2"/>
  <c r="H147" i="2"/>
  <c r="J147" i="2"/>
  <c r="K147" i="2"/>
  <c r="I148" i="2"/>
  <c r="I147" i="2" s="1"/>
  <c r="J137" i="2"/>
  <c r="H137" i="2"/>
  <c r="D42" i="2"/>
  <c r="D41" i="2" s="1"/>
  <c r="E42" i="2"/>
  <c r="E41" i="2" s="1"/>
  <c r="F42" i="2"/>
  <c r="F41" i="2" s="1"/>
  <c r="G42" i="2"/>
  <c r="G41" i="2" s="1"/>
  <c r="H42" i="2"/>
  <c r="J42" i="2"/>
  <c r="K42" i="2"/>
  <c r="D38" i="2"/>
  <c r="D37" i="2" s="1"/>
  <c r="E38" i="2"/>
  <c r="E37" i="2" s="1"/>
  <c r="F38" i="2"/>
  <c r="F37" i="2" s="1"/>
  <c r="G38" i="2"/>
  <c r="G37" i="2" s="1"/>
  <c r="H37" i="2"/>
  <c r="J37" i="2"/>
  <c r="K37" i="2"/>
  <c r="C38" i="2"/>
  <c r="C37" i="2" s="1"/>
  <c r="I40" i="2"/>
  <c r="I38" i="2" l="1"/>
  <c r="I37" i="2" s="1"/>
  <c r="J41" i="2"/>
  <c r="H41" i="2"/>
  <c r="K41" i="2"/>
  <c r="K298" i="2"/>
  <c r="H298" i="2"/>
  <c r="H483" i="1" l="1"/>
  <c r="H602" i="2" l="1"/>
  <c r="I337" i="2" l="1"/>
  <c r="I336" i="2" s="1"/>
  <c r="K336" i="2"/>
  <c r="J336" i="2"/>
  <c r="H336" i="2"/>
  <c r="G336" i="2"/>
  <c r="F336" i="2"/>
  <c r="E336" i="2"/>
  <c r="D336" i="2"/>
  <c r="C336" i="2"/>
  <c r="H200" i="1" l="1"/>
  <c r="H178" i="1"/>
  <c r="H24" i="1" l="1"/>
  <c r="H156" i="1" l="1"/>
  <c r="H130" i="1"/>
  <c r="H97" i="1"/>
  <c r="H120" i="1"/>
  <c r="H87" i="1"/>
  <c r="I300" i="1" l="1"/>
  <c r="I299" i="1" s="1"/>
  <c r="K299" i="1"/>
  <c r="J299" i="1"/>
  <c r="H299" i="1"/>
  <c r="G299" i="1"/>
  <c r="F299" i="1"/>
  <c r="E299" i="1"/>
  <c r="D299" i="1"/>
  <c r="C299" i="1"/>
  <c r="D209" i="1"/>
  <c r="E209" i="1"/>
  <c r="F209" i="1"/>
  <c r="G209" i="1"/>
  <c r="H209" i="1"/>
  <c r="J209" i="1"/>
  <c r="K209" i="1"/>
  <c r="C209" i="1"/>
  <c r="I218" i="1"/>
  <c r="D338" i="1"/>
  <c r="E338" i="1"/>
  <c r="F338" i="1"/>
  <c r="G338" i="1"/>
  <c r="H338" i="1"/>
  <c r="I338" i="1"/>
  <c r="J338" i="1"/>
  <c r="K338" i="1"/>
  <c r="C338" i="1"/>
  <c r="D327" i="1"/>
  <c r="E327" i="1"/>
  <c r="F327" i="1"/>
  <c r="G327" i="1"/>
  <c r="H327" i="1"/>
  <c r="J327" i="1"/>
  <c r="K327" i="1"/>
  <c r="C327" i="1"/>
  <c r="D303" i="1"/>
  <c r="E303" i="1"/>
  <c r="F303" i="1"/>
  <c r="G303" i="1"/>
  <c r="H303" i="1"/>
  <c r="J303" i="1"/>
  <c r="K303" i="1"/>
  <c r="C303" i="1"/>
  <c r="F53" i="1"/>
  <c r="G53" i="1"/>
  <c r="D53" i="1"/>
  <c r="E53" i="1"/>
  <c r="C53" i="1"/>
  <c r="H17" i="1" l="1"/>
  <c r="K17" i="1"/>
  <c r="J17" i="1"/>
  <c r="K480" i="1" l="1"/>
  <c r="J480" i="1"/>
  <c r="H480" i="1"/>
  <c r="K224" i="1" l="1"/>
  <c r="J224" i="1"/>
  <c r="K229" i="1"/>
  <c r="K225" i="1"/>
  <c r="J225" i="1"/>
  <c r="K202" i="1"/>
  <c r="J202" i="1"/>
  <c r="K200" i="1"/>
  <c r="J200" i="1"/>
  <c r="K195" i="1"/>
  <c r="J195" i="1"/>
  <c r="K194" i="1"/>
  <c r="J194" i="1"/>
  <c r="K188" i="1"/>
  <c r="K186" i="1"/>
  <c r="K178" i="1"/>
  <c r="J178" i="1"/>
  <c r="K171" i="1"/>
  <c r="J171" i="1"/>
  <c r="K165" i="1"/>
  <c r="J165" i="1"/>
  <c r="K160" i="1"/>
  <c r="J160" i="1"/>
  <c r="H160" i="1"/>
  <c r="K156" i="1"/>
  <c r="J156" i="1"/>
  <c r="K151" i="1"/>
  <c r="J151" i="1"/>
  <c r="K130" i="1"/>
  <c r="J130" i="1"/>
  <c r="K72" i="1"/>
  <c r="J72" i="1"/>
  <c r="K71" i="1"/>
  <c r="J71" i="1"/>
  <c r="J58" i="1"/>
  <c r="J54" i="1"/>
  <c r="J53" i="1" s="1"/>
  <c r="J39" i="1"/>
  <c r="J37" i="1"/>
  <c r="J29" i="1"/>
  <c r="H72" i="1"/>
  <c r="H71" i="1"/>
  <c r="H202" i="1"/>
  <c r="H171" i="1"/>
  <c r="H260" i="1"/>
  <c r="H225" i="1"/>
  <c r="H223" i="1"/>
  <c r="H151" i="1"/>
  <c r="H165" i="1"/>
  <c r="K37" i="1"/>
  <c r="K58" i="1"/>
  <c r="K54" i="1"/>
  <c r="K53" i="1" s="1"/>
  <c r="K39" i="1"/>
  <c r="K29" i="1"/>
  <c r="J314" i="1"/>
  <c r="J350" i="1"/>
  <c r="K348" i="1"/>
  <c r="J348" i="1"/>
  <c r="K77" i="1"/>
  <c r="J77" i="1"/>
  <c r="K34" i="1"/>
  <c r="J34" i="1"/>
  <c r="K33" i="1"/>
  <c r="J33" i="1"/>
  <c r="K24" i="1"/>
  <c r="J24" i="1"/>
  <c r="K23" i="1"/>
  <c r="J23" i="1"/>
  <c r="H33" i="1"/>
  <c r="H34" i="1"/>
  <c r="H29" i="1"/>
  <c r="H23" i="1"/>
  <c r="H54" i="1"/>
  <c r="H53" i="1" s="1"/>
  <c r="H58" i="1"/>
  <c r="H77" i="1"/>
  <c r="H195" i="1"/>
  <c r="H194" i="1"/>
  <c r="H350" i="1"/>
  <c r="H255" i="1"/>
  <c r="K473" i="1"/>
  <c r="K475" i="1" s="1"/>
  <c r="J473" i="1"/>
  <c r="J475" i="1" s="1"/>
  <c r="H473" i="1"/>
  <c r="H475" i="1" s="1"/>
  <c r="D464" i="1" l="1"/>
  <c r="C10" i="3" s="1"/>
  <c r="E464" i="1"/>
  <c r="F464" i="1"/>
  <c r="G464" i="1"/>
  <c r="I464" i="1"/>
  <c r="J464" i="1"/>
  <c r="K464" i="1"/>
  <c r="C464" i="1"/>
  <c r="I247" i="1" l="1"/>
  <c r="I246" i="1"/>
  <c r="K477" i="1" l="1"/>
  <c r="J477" i="1"/>
  <c r="H477" i="1"/>
  <c r="D285" i="2"/>
  <c r="E285" i="2"/>
  <c r="F285" i="2"/>
  <c r="G285" i="2"/>
  <c r="J285" i="2"/>
  <c r="K285" i="2"/>
  <c r="C285" i="2"/>
  <c r="I299" i="2"/>
  <c r="D288" i="2"/>
  <c r="E288" i="2"/>
  <c r="F288" i="2"/>
  <c r="G288" i="2"/>
  <c r="H288" i="2"/>
  <c r="J288" i="2"/>
  <c r="K288" i="2"/>
  <c r="C288" i="2"/>
  <c r="I289" i="2"/>
  <c r="I290" i="2"/>
  <c r="I294" i="2"/>
  <c r="I295" i="2"/>
  <c r="I296" i="2"/>
  <c r="I297" i="2"/>
  <c r="I293" i="2"/>
  <c r="I292" i="2"/>
  <c r="I291" i="2"/>
  <c r="I287" i="2"/>
  <c r="I286" i="2"/>
  <c r="D233" i="2"/>
  <c r="E233" i="2"/>
  <c r="F233" i="2"/>
  <c r="G233" i="2"/>
  <c r="H233" i="2"/>
  <c r="J233" i="2"/>
  <c r="K233" i="2"/>
  <c r="I228" i="2"/>
  <c r="I226" i="2"/>
  <c r="I411" i="2"/>
  <c r="I410" i="2" s="1"/>
  <c r="K410" i="2"/>
  <c r="J410" i="2"/>
  <c r="H410" i="2"/>
  <c r="G410" i="2"/>
  <c r="F410" i="2"/>
  <c r="E410" i="2"/>
  <c r="D410" i="2"/>
  <c r="C410" i="2"/>
  <c r="I406" i="2"/>
  <c r="I405" i="2"/>
  <c r="I404" i="2"/>
  <c r="I392" i="2"/>
  <c r="I366" i="2"/>
  <c r="D342" i="1"/>
  <c r="E342" i="1"/>
  <c r="F342" i="1"/>
  <c r="G342" i="1"/>
  <c r="H342" i="1"/>
  <c r="J342" i="1"/>
  <c r="K342" i="1"/>
  <c r="I350" i="1"/>
  <c r="I349" i="1" s="1"/>
  <c r="K349" i="1"/>
  <c r="J349" i="1"/>
  <c r="H349" i="1"/>
  <c r="G349" i="1"/>
  <c r="F349" i="1"/>
  <c r="E349" i="1"/>
  <c r="D349" i="1"/>
  <c r="C349" i="1"/>
  <c r="I344" i="1"/>
  <c r="I345" i="1"/>
  <c r="I316" i="1"/>
  <c r="I310" i="1"/>
  <c r="D265" i="1"/>
  <c r="E265" i="1"/>
  <c r="F265" i="1"/>
  <c r="G265" i="1"/>
  <c r="H265" i="1"/>
  <c r="J265" i="1"/>
  <c r="K265" i="1"/>
  <c r="C265" i="1"/>
  <c r="I266" i="1"/>
  <c r="I267" i="1"/>
  <c r="D231" i="1"/>
  <c r="E231" i="1"/>
  <c r="F231" i="1"/>
  <c r="G231" i="1"/>
  <c r="H231" i="1"/>
  <c r="J231" i="1"/>
  <c r="K231" i="1"/>
  <c r="I232" i="1"/>
  <c r="I231" i="1" s="1"/>
  <c r="C231" i="1"/>
  <c r="I214" i="1"/>
  <c r="I215" i="1"/>
  <c r="I285" i="2" l="1"/>
  <c r="I288" i="2"/>
  <c r="I193" i="1"/>
  <c r="D323" i="2" l="1"/>
  <c r="E323" i="2"/>
  <c r="F323" i="2"/>
  <c r="G323" i="2"/>
  <c r="H323" i="2"/>
  <c r="J323" i="2"/>
  <c r="K323" i="2"/>
  <c r="C323" i="2"/>
  <c r="I324" i="2"/>
  <c r="I323" i="2" s="1"/>
  <c r="K310" i="2"/>
  <c r="K311" i="2"/>
  <c r="J311" i="2"/>
  <c r="J334" i="2"/>
  <c r="H334" i="2"/>
  <c r="J333" i="2"/>
  <c r="H333" i="2"/>
  <c r="H330" i="2"/>
  <c r="J329" i="2"/>
  <c r="J328" i="2"/>
  <c r="H328" i="2"/>
  <c r="K319" i="2"/>
  <c r="J319" i="2"/>
  <c r="J315" i="2"/>
  <c r="J332" i="2"/>
  <c r="K332" i="2"/>
  <c r="J327" i="2"/>
  <c r="H327" i="2"/>
  <c r="K327" i="2"/>
  <c r="K326" i="2"/>
  <c r="K318" i="2"/>
  <c r="J318" i="2"/>
  <c r="K316" i="2"/>
  <c r="J316" i="2"/>
  <c r="J310" i="2"/>
  <c r="I335" i="2"/>
  <c r="G325" i="2"/>
  <c r="F325" i="2"/>
  <c r="E325" i="2"/>
  <c r="D325" i="2"/>
  <c r="C325" i="2"/>
  <c r="I322" i="2"/>
  <c r="I321" i="2" s="1"/>
  <c r="K321" i="2"/>
  <c r="J321" i="2"/>
  <c r="H321" i="2"/>
  <c r="G321" i="2"/>
  <c r="F321" i="2"/>
  <c r="E321" i="2"/>
  <c r="D321" i="2"/>
  <c r="C321" i="2"/>
  <c r="I320" i="2"/>
  <c r="G309" i="2"/>
  <c r="F309" i="2"/>
  <c r="E309" i="2"/>
  <c r="D309" i="2"/>
  <c r="C309" i="2"/>
  <c r="J275" i="1"/>
  <c r="I275" i="1"/>
  <c r="D564" i="2"/>
  <c r="E564" i="2"/>
  <c r="F564" i="2"/>
  <c r="G564" i="2"/>
  <c r="H564" i="2"/>
  <c r="J564" i="2"/>
  <c r="K564" i="2"/>
  <c r="I566" i="2"/>
  <c r="D454" i="2"/>
  <c r="E454" i="2"/>
  <c r="F454" i="2"/>
  <c r="G454" i="2"/>
  <c r="H454" i="2"/>
  <c r="J454" i="2"/>
  <c r="K454" i="2"/>
  <c r="D447" i="2"/>
  <c r="E447" i="2"/>
  <c r="F447" i="2"/>
  <c r="G447" i="2"/>
  <c r="H447" i="2"/>
  <c r="J447" i="2"/>
  <c r="K447" i="2"/>
  <c r="C447" i="2"/>
  <c r="D445" i="2"/>
  <c r="E445" i="2"/>
  <c r="F445" i="2"/>
  <c r="G445" i="2"/>
  <c r="H445" i="2"/>
  <c r="J445" i="2"/>
  <c r="K445" i="2"/>
  <c r="C445" i="2"/>
  <c r="I453" i="2"/>
  <c r="I456" i="2"/>
  <c r="I455" i="2"/>
  <c r="C454" i="2"/>
  <c r="I451" i="2"/>
  <c r="I450" i="2"/>
  <c r="I449" i="2"/>
  <c r="I448" i="2"/>
  <c r="I446" i="2"/>
  <c r="I445" i="2" s="1"/>
  <c r="H265" i="2"/>
  <c r="I263" i="2"/>
  <c r="I264" i="2"/>
  <c r="D259" i="2"/>
  <c r="E259" i="2"/>
  <c r="F259" i="2"/>
  <c r="G259" i="2"/>
  <c r="H259" i="2"/>
  <c r="J259" i="2"/>
  <c r="K259" i="2"/>
  <c r="C259" i="2"/>
  <c r="K205" i="2"/>
  <c r="I192" i="2"/>
  <c r="K295" i="1"/>
  <c r="K290" i="1"/>
  <c r="J298" i="1"/>
  <c r="J297" i="1"/>
  <c r="H297" i="1"/>
  <c r="I297" i="1" s="1"/>
  <c r="J296" i="1"/>
  <c r="I296" i="1"/>
  <c r="J295" i="1"/>
  <c r="I295" i="1"/>
  <c r="I294" i="1"/>
  <c r="H293" i="1"/>
  <c r="I293" i="1" s="1"/>
  <c r="J292" i="1"/>
  <c r="I292" i="1"/>
  <c r="J291" i="1"/>
  <c r="H291" i="1"/>
  <c r="I291" i="1" s="1"/>
  <c r="J290" i="1"/>
  <c r="H290" i="1"/>
  <c r="I290" i="1" s="1"/>
  <c r="K289" i="1"/>
  <c r="I289" i="1"/>
  <c r="D288" i="1"/>
  <c r="E288" i="1"/>
  <c r="F288" i="1"/>
  <c r="G288" i="1"/>
  <c r="C288" i="1"/>
  <c r="H286" i="1"/>
  <c r="J284" i="1"/>
  <c r="I284" i="1"/>
  <c r="K283" i="1"/>
  <c r="J283" i="1"/>
  <c r="I283" i="1"/>
  <c r="J282" i="1"/>
  <c r="I282" i="1"/>
  <c r="I298" i="1"/>
  <c r="I285" i="1"/>
  <c r="K281" i="1"/>
  <c r="J281" i="1"/>
  <c r="I281" i="1"/>
  <c r="J280" i="1"/>
  <c r="I280" i="1"/>
  <c r="J279" i="1"/>
  <c r="I279" i="1"/>
  <c r="I278" i="1"/>
  <c r="J276" i="1"/>
  <c r="I277" i="1"/>
  <c r="K276" i="1"/>
  <c r="I276" i="1"/>
  <c r="K275" i="1"/>
  <c r="D274" i="1"/>
  <c r="E274" i="1"/>
  <c r="F274" i="1"/>
  <c r="G274" i="1"/>
  <c r="D286" i="1"/>
  <c r="E286" i="1"/>
  <c r="F286" i="1"/>
  <c r="G286" i="1"/>
  <c r="J286" i="1"/>
  <c r="K286" i="1"/>
  <c r="C286" i="1"/>
  <c r="C274" i="1"/>
  <c r="H382" i="1"/>
  <c r="D242" i="1"/>
  <c r="E242" i="1"/>
  <c r="F242" i="1"/>
  <c r="G242" i="1"/>
  <c r="H242" i="1"/>
  <c r="J242" i="1"/>
  <c r="K242" i="1"/>
  <c r="C242" i="1"/>
  <c r="I109" i="1"/>
  <c r="G273" i="1" l="1"/>
  <c r="F273" i="1"/>
  <c r="E273" i="1"/>
  <c r="D273" i="1"/>
  <c r="K325" i="2"/>
  <c r="D444" i="2"/>
  <c r="I319" i="2"/>
  <c r="I315" i="2"/>
  <c r="D308" i="2"/>
  <c r="I326" i="2"/>
  <c r="E308" i="2"/>
  <c r="I327" i="2"/>
  <c r="I329" i="2"/>
  <c r="I311" i="2"/>
  <c r="I328" i="2"/>
  <c r="I330" i="2"/>
  <c r="I318" i="2"/>
  <c r="I317" i="2"/>
  <c r="I331" i="2"/>
  <c r="I310" i="2"/>
  <c r="I333" i="2"/>
  <c r="I312" i="2"/>
  <c r="I316" i="2"/>
  <c r="I313" i="2"/>
  <c r="I334" i="2"/>
  <c r="I314" i="2"/>
  <c r="C308" i="2"/>
  <c r="I454" i="2"/>
  <c r="K444" i="2"/>
  <c r="G308" i="2"/>
  <c r="F308" i="2"/>
  <c r="K274" i="1"/>
  <c r="K273" i="1" s="1"/>
  <c r="G272" i="1"/>
  <c r="H444" i="2"/>
  <c r="J444" i="2"/>
  <c r="E444" i="2"/>
  <c r="C444" i="2"/>
  <c r="J325" i="2"/>
  <c r="H325" i="2"/>
  <c r="K309" i="2"/>
  <c r="J309" i="2"/>
  <c r="H309" i="2"/>
  <c r="I332" i="2"/>
  <c r="F444" i="2"/>
  <c r="G444" i="2"/>
  <c r="F272" i="1"/>
  <c r="E272" i="1"/>
  <c r="D272" i="1"/>
  <c r="C273" i="1"/>
  <c r="C272" i="1" s="1"/>
  <c r="K288" i="1"/>
  <c r="J288" i="1"/>
  <c r="H288" i="1"/>
  <c r="I288" i="1"/>
  <c r="I287" i="1"/>
  <c r="I286" i="1" s="1"/>
  <c r="J274" i="1"/>
  <c r="I274" i="1"/>
  <c r="H274" i="1"/>
  <c r="J273" i="1" l="1"/>
  <c r="K272" i="1"/>
  <c r="H273" i="1"/>
  <c r="I273" i="1"/>
  <c r="I272" i="1" s="1"/>
  <c r="K308" i="2"/>
  <c r="H308" i="2"/>
  <c r="I309" i="2"/>
  <c r="J308" i="2"/>
  <c r="I325" i="2"/>
  <c r="I308" i="2" s="1"/>
  <c r="J272" i="1"/>
  <c r="H272" i="1" l="1"/>
  <c r="K307" i="2" l="1"/>
  <c r="J307" i="2"/>
  <c r="I307" i="2"/>
  <c r="E307" i="2"/>
  <c r="D307" i="2"/>
  <c r="C307" i="2"/>
  <c r="H307" i="2"/>
  <c r="G307" i="2"/>
  <c r="F307" i="2"/>
  <c r="I154" i="2"/>
  <c r="H115" i="2" l="1"/>
  <c r="I28" i="2" l="1"/>
  <c r="K441" i="2" l="1"/>
  <c r="K440" i="2" s="1"/>
  <c r="K439" i="2" s="1"/>
  <c r="J441" i="2"/>
  <c r="J440" i="2" s="1"/>
  <c r="J439" i="2" s="1"/>
  <c r="H441" i="2"/>
  <c r="G441" i="2"/>
  <c r="G440" i="2" s="1"/>
  <c r="G439" i="2" s="1"/>
  <c r="F441" i="2"/>
  <c r="F440" i="2" s="1"/>
  <c r="F439" i="2" s="1"/>
  <c r="E441" i="2"/>
  <c r="E440" i="2" s="1"/>
  <c r="E439" i="2" s="1"/>
  <c r="D441" i="2"/>
  <c r="D440" i="2" s="1"/>
  <c r="D439" i="2" s="1"/>
  <c r="C441" i="2"/>
  <c r="I91" i="2"/>
  <c r="I90" i="2" s="1"/>
  <c r="I89" i="2"/>
  <c r="I88" i="2" s="1"/>
  <c r="K90" i="2"/>
  <c r="J90" i="2"/>
  <c r="H90" i="2"/>
  <c r="G90" i="2"/>
  <c r="F90" i="2"/>
  <c r="E90" i="2"/>
  <c r="D90" i="2"/>
  <c r="K88" i="2"/>
  <c r="J88" i="2"/>
  <c r="H88" i="2"/>
  <c r="G88" i="2"/>
  <c r="F88" i="2"/>
  <c r="E88" i="2"/>
  <c r="D88" i="2"/>
  <c r="C90" i="2"/>
  <c r="C88" i="2"/>
  <c r="H440" i="2" l="1"/>
  <c r="K87" i="2"/>
  <c r="J87" i="2"/>
  <c r="H87" i="2"/>
  <c r="H618" i="2" s="1"/>
  <c r="D15" i="3" s="1"/>
  <c r="C87" i="2"/>
  <c r="C86" i="2" s="1"/>
  <c r="G87" i="2"/>
  <c r="G86" i="2" s="1"/>
  <c r="I87" i="2"/>
  <c r="I86" i="2" s="1"/>
  <c r="E87" i="2"/>
  <c r="E86" i="2" s="1"/>
  <c r="D87" i="2"/>
  <c r="D86" i="2" s="1"/>
  <c r="F87" i="2"/>
  <c r="F86" i="2" s="1"/>
  <c r="A631" i="2"/>
  <c r="B631" i="2"/>
  <c r="A632" i="2"/>
  <c r="B632" i="2"/>
  <c r="A633" i="2"/>
  <c r="B633" i="2"/>
  <c r="J86" i="2" l="1"/>
  <c r="J618" i="2"/>
  <c r="E15" i="3" s="1"/>
  <c r="K86" i="2"/>
  <c r="K618" i="2"/>
  <c r="F15" i="3" s="1"/>
  <c r="H86" i="2"/>
  <c r="H439" i="2"/>
  <c r="K606" i="2"/>
  <c r="K605" i="2" s="1"/>
  <c r="K604" i="2" s="1"/>
  <c r="J606" i="2"/>
  <c r="J605" i="2" s="1"/>
  <c r="J604" i="2" s="1"/>
  <c r="H606" i="2"/>
  <c r="G606" i="2"/>
  <c r="G605" i="2" s="1"/>
  <c r="G604" i="2" s="1"/>
  <c r="F606" i="2"/>
  <c r="F605" i="2" s="1"/>
  <c r="F604" i="2" s="1"/>
  <c r="E606" i="2"/>
  <c r="E605" i="2" s="1"/>
  <c r="E604" i="2" s="1"/>
  <c r="D606" i="2"/>
  <c r="D605" i="2" s="1"/>
  <c r="D604" i="2" s="1"/>
  <c r="C606" i="2"/>
  <c r="C605" i="2" s="1"/>
  <c r="C604" i="2" s="1"/>
  <c r="K602" i="2"/>
  <c r="J602" i="2"/>
  <c r="G602" i="2"/>
  <c r="F602" i="2"/>
  <c r="E602" i="2"/>
  <c r="D602" i="2"/>
  <c r="C602" i="2"/>
  <c r="K596" i="2"/>
  <c r="J596" i="2"/>
  <c r="H596" i="2"/>
  <c r="G596" i="2"/>
  <c r="F596" i="2"/>
  <c r="E596" i="2"/>
  <c r="D596" i="2"/>
  <c r="C596" i="2"/>
  <c r="K594" i="2"/>
  <c r="J594" i="2"/>
  <c r="H594" i="2"/>
  <c r="G594" i="2"/>
  <c r="F594" i="2"/>
  <c r="E594" i="2"/>
  <c r="D594" i="2"/>
  <c r="C594" i="2"/>
  <c r="K586" i="2"/>
  <c r="K585" i="2" s="1"/>
  <c r="K584" i="2" s="1"/>
  <c r="J586" i="2"/>
  <c r="J585" i="2" s="1"/>
  <c r="J584" i="2" s="1"/>
  <c r="H586" i="2"/>
  <c r="G586" i="2"/>
  <c r="G585" i="2" s="1"/>
  <c r="G584" i="2" s="1"/>
  <c r="F586" i="2"/>
  <c r="F585" i="2" s="1"/>
  <c r="F584" i="2" s="1"/>
  <c r="E586" i="2"/>
  <c r="E585" i="2" s="1"/>
  <c r="E584" i="2" s="1"/>
  <c r="D586" i="2"/>
  <c r="D585" i="2" s="1"/>
  <c r="D584" i="2" s="1"/>
  <c r="C586" i="2"/>
  <c r="C585" i="2" s="1"/>
  <c r="C584" i="2" s="1"/>
  <c r="K574" i="2"/>
  <c r="J574" i="2"/>
  <c r="H574" i="2"/>
  <c r="G574" i="2"/>
  <c r="F574" i="2"/>
  <c r="E574" i="2"/>
  <c r="D574" i="2"/>
  <c r="C574" i="2"/>
  <c r="K572" i="2"/>
  <c r="J572" i="2"/>
  <c r="H572" i="2"/>
  <c r="G572" i="2"/>
  <c r="F572" i="2"/>
  <c r="E572" i="2"/>
  <c r="D572" i="2"/>
  <c r="C572" i="2"/>
  <c r="C564" i="2"/>
  <c r="K562" i="2"/>
  <c r="J562" i="2"/>
  <c r="H562" i="2"/>
  <c r="G562" i="2"/>
  <c r="F562" i="2"/>
  <c r="E562" i="2"/>
  <c r="D562" i="2"/>
  <c r="C562" i="2"/>
  <c r="K558" i="2"/>
  <c r="J558" i="2"/>
  <c r="H558" i="2"/>
  <c r="G558" i="2"/>
  <c r="F558" i="2"/>
  <c r="E558" i="2"/>
  <c r="D558" i="2"/>
  <c r="C558" i="2"/>
  <c r="K552" i="2"/>
  <c r="J552" i="2"/>
  <c r="H552" i="2"/>
  <c r="G552" i="2"/>
  <c r="F552" i="2"/>
  <c r="E552" i="2"/>
  <c r="D552" i="2"/>
  <c r="C552" i="2"/>
  <c r="K550" i="2"/>
  <c r="J550" i="2"/>
  <c r="H550" i="2"/>
  <c r="G550" i="2"/>
  <c r="F550" i="2"/>
  <c r="E550" i="2"/>
  <c r="D550" i="2"/>
  <c r="C550" i="2"/>
  <c r="K538" i="2"/>
  <c r="J538" i="2"/>
  <c r="H538" i="2"/>
  <c r="G538" i="2"/>
  <c r="F538" i="2"/>
  <c r="E538" i="2"/>
  <c r="D538" i="2"/>
  <c r="C538" i="2"/>
  <c r="K532" i="2"/>
  <c r="J532" i="2"/>
  <c r="H532" i="2"/>
  <c r="G532" i="2"/>
  <c r="F532" i="2"/>
  <c r="E532" i="2"/>
  <c r="D532" i="2"/>
  <c r="C532" i="2"/>
  <c r="K522" i="2"/>
  <c r="J522" i="2"/>
  <c r="H522" i="2"/>
  <c r="G522" i="2"/>
  <c r="F522" i="2"/>
  <c r="E522" i="2"/>
  <c r="D522" i="2"/>
  <c r="K520" i="2"/>
  <c r="J520" i="2"/>
  <c r="H520" i="2"/>
  <c r="G520" i="2"/>
  <c r="F520" i="2"/>
  <c r="E520" i="2"/>
  <c r="D520" i="2"/>
  <c r="C522" i="2"/>
  <c r="C520" i="2"/>
  <c r="K508" i="2"/>
  <c r="J508" i="2"/>
  <c r="H508" i="2"/>
  <c r="G508" i="2"/>
  <c r="F508" i="2"/>
  <c r="E508" i="2"/>
  <c r="D508" i="2"/>
  <c r="C508" i="2"/>
  <c r="K506" i="2"/>
  <c r="J506" i="2"/>
  <c r="H506" i="2"/>
  <c r="G506" i="2"/>
  <c r="F506" i="2"/>
  <c r="E506" i="2"/>
  <c r="D506" i="2"/>
  <c r="C506" i="2"/>
  <c r="K502" i="2"/>
  <c r="K501" i="2" s="1"/>
  <c r="K500" i="2" s="1"/>
  <c r="J502" i="2"/>
  <c r="J501" i="2" s="1"/>
  <c r="J500" i="2" s="1"/>
  <c r="H502" i="2"/>
  <c r="G502" i="2"/>
  <c r="G501" i="2" s="1"/>
  <c r="G500" i="2" s="1"/>
  <c r="F502" i="2"/>
  <c r="F501" i="2" s="1"/>
  <c r="F500" i="2" s="1"/>
  <c r="E502" i="2"/>
  <c r="E501" i="2" s="1"/>
  <c r="E500" i="2" s="1"/>
  <c r="D502" i="2"/>
  <c r="D501" i="2" s="1"/>
  <c r="D500" i="2" s="1"/>
  <c r="C502" i="2"/>
  <c r="C501" i="2" s="1"/>
  <c r="C500" i="2" s="1"/>
  <c r="K498" i="2"/>
  <c r="J498" i="2"/>
  <c r="H498" i="2"/>
  <c r="G498" i="2"/>
  <c r="F498" i="2"/>
  <c r="E498" i="2"/>
  <c r="D498" i="2"/>
  <c r="C498" i="2"/>
  <c r="K489" i="2"/>
  <c r="J489" i="2"/>
  <c r="H489" i="2"/>
  <c r="G489" i="2"/>
  <c r="F489" i="2"/>
  <c r="E489" i="2"/>
  <c r="D489" i="2"/>
  <c r="C489" i="2"/>
  <c r="K487" i="2"/>
  <c r="J487" i="2"/>
  <c r="H487" i="2"/>
  <c r="G487" i="2"/>
  <c r="F487" i="2"/>
  <c r="E487" i="2"/>
  <c r="D487" i="2"/>
  <c r="C487" i="2"/>
  <c r="K482" i="2"/>
  <c r="K481" i="2" s="1"/>
  <c r="K480" i="2" s="1"/>
  <c r="J482" i="2"/>
  <c r="J481" i="2" s="1"/>
  <c r="J480" i="2" s="1"/>
  <c r="H482" i="2"/>
  <c r="G482" i="2"/>
  <c r="G481" i="2" s="1"/>
  <c r="G480" i="2" s="1"/>
  <c r="F482" i="2"/>
  <c r="F481" i="2" s="1"/>
  <c r="F480" i="2" s="1"/>
  <c r="E482" i="2"/>
  <c r="E481" i="2" s="1"/>
  <c r="E480" i="2" s="1"/>
  <c r="D482" i="2"/>
  <c r="D481" i="2" s="1"/>
  <c r="D480" i="2" s="1"/>
  <c r="C482" i="2"/>
  <c r="C481" i="2" s="1"/>
  <c r="C480" i="2" s="1"/>
  <c r="K477" i="2"/>
  <c r="K476" i="2" s="1"/>
  <c r="K475" i="2" s="1"/>
  <c r="J477" i="2"/>
  <c r="J476" i="2" s="1"/>
  <c r="J475" i="2" s="1"/>
  <c r="H477" i="2"/>
  <c r="G477" i="2"/>
  <c r="G476" i="2" s="1"/>
  <c r="G475" i="2" s="1"/>
  <c r="F477" i="2"/>
  <c r="F476" i="2" s="1"/>
  <c r="F475" i="2" s="1"/>
  <c r="E477" i="2"/>
  <c r="E476" i="2" s="1"/>
  <c r="E475" i="2" s="1"/>
  <c r="D477" i="2"/>
  <c r="D476" i="2" s="1"/>
  <c r="D475" i="2" s="1"/>
  <c r="C477" i="2"/>
  <c r="C476" i="2" s="1"/>
  <c r="C475" i="2" s="1"/>
  <c r="K471" i="2"/>
  <c r="J471" i="2"/>
  <c r="H471" i="2"/>
  <c r="G471" i="2"/>
  <c r="F471" i="2"/>
  <c r="E471" i="2"/>
  <c r="D471" i="2"/>
  <c r="C471" i="2"/>
  <c r="K460" i="2"/>
  <c r="J460" i="2"/>
  <c r="H460" i="2"/>
  <c r="G460" i="2"/>
  <c r="F460" i="2"/>
  <c r="E460" i="2"/>
  <c r="D460" i="2"/>
  <c r="C460" i="2"/>
  <c r="K458" i="2"/>
  <c r="J458" i="2"/>
  <c r="H458" i="2"/>
  <c r="G458" i="2"/>
  <c r="F458" i="2"/>
  <c r="E458" i="2"/>
  <c r="D458" i="2"/>
  <c r="C458" i="2"/>
  <c r="C440" i="2"/>
  <c r="C439" i="2" s="1"/>
  <c r="K437" i="2"/>
  <c r="J437" i="2"/>
  <c r="H437" i="2"/>
  <c r="G437" i="2"/>
  <c r="F437" i="2"/>
  <c r="E437" i="2"/>
  <c r="D437" i="2"/>
  <c r="C437" i="2"/>
  <c r="K433" i="2"/>
  <c r="J433" i="2"/>
  <c r="H433" i="2"/>
  <c r="G433" i="2"/>
  <c r="F433" i="2"/>
  <c r="E433" i="2"/>
  <c r="D433" i="2"/>
  <c r="C433" i="2"/>
  <c r="K424" i="2"/>
  <c r="J424" i="2"/>
  <c r="H424" i="2"/>
  <c r="G424" i="2"/>
  <c r="F424" i="2"/>
  <c r="E424" i="2"/>
  <c r="D424" i="2"/>
  <c r="C424" i="2"/>
  <c r="K422" i="2"/>
  <c r="J422" i="2"/>
  <c r="H422" i="2"/>
  <c r="G422" i="2"/>
  <c r="F422" i="2"/>
  <c r="E422" i="2"/>
  <c r="D422" i="2"/>
  <c r="C422" i="2"/>
  <c r="K416" i="2"/>
  <c r="J416" i="2"/>
  <c r="H416" i="2"/>
  <c r="G416" i="2"/>
  <c r="F416" i="2"/>
  <c r="E416" i="2"/>
  <c r="D416" i="2"/>
  <c r="C416" i="2"/>
  <c r="K414" i="2"/>
  <c r="J414" i="2"/>
  <c r="H414" i="2"/>
  <c r="G414" i="2"/>
  <c r="F414" i="2"/>
  <c r="E414" i="2"/>
  <c r="D414" i="2"/>
  <c r="C414" i="2"/>
  <c r="K402" i="2"/>
  <c r="J402" i="2"/>
  <c r="H402" i="2"/>
  <c r="G402" i="2"/>
  <c r="F402" i="2"/>
  <c r="E402" i="2"/>
  <c r="D402" i="2"/>
  <c r="C402" i="2"/>
  <c r="K400" i="2"/>
  <c r="J400" i="2"/>
  <c r="H400" i="2"/>
  <c r="G400" i="2"/>
  <c r="F400" i="2"/>
  <c r="E400" i="2"/>
  <c r="D400" i="2"/>
  <c r="C400" i="2"/>
  <c r="K385" i="2"/>
  <c r="J385" i="2"/>
  <c r="H385" i="2"/>
  <c r="G385" i="2"/>
  <c r="F385" i="2"/>
  <c r="E385" i="2"/>
  <c r="D385" i="2"/>
  <c r="C385" i="2"/>
  <c r="K382" i="2"/>
  <c r="J382" i="2"/>
  <c r="H382" i="2"/>
  <c r="G382" i="2"/>
  <c r="F382" i="2"/>
  <c r="E382" i="2"/>
  <c r="D382" i="2"/>
  <c r="C382" i="2"/>
  <c r="K378" i="2"/>
  <c r="J378" i="2"/>
  <c r="H378" i="2"/>
  <c r="G378" i="2"/>
  <c r="F378" i="2"/>
  <c r="E378" i="2"/>
  <c r="D378" i="2"/>
  <c r="C378" i="2"/>
  <c r="K368" i="2"/>
  <c r="J368" i="2"/>
  <c r="H368" i="2"/>
  <c r="G368" i="2"/>
  <c r="F368" i="2"/>
  <c r="E368" i="2"/>
  <c r="D368" i="2"/>
  <c r="K370" i="2"/>
  <c r="J370" i="2"/>
  <c r="H370" i="2"/>
  <c r="G370" i="2"/>
  <c r="F370" i="2"/>
  <c r="E370" i="2"/>
  <c r="D370" i="2"/>
  <c r="C370" i="2"/>
  <c r="C368" i="2"/>
  <c r="K354" i="2"/>
  <c r="J354" i="2"/>
  <c r="H354" i="2"/>
  <c r="G354" i="2"/>
  <c r="F354" i="2"/>
  <c r="E354" i="2"/>
  <c r="D354" i="2"/>
  <c r="C354" i="2"/>
  <c r="K350" i="2"/>
  <c r="K349" i="2" s="1"/>
  <c r="K628" i="2" s="1"/>
  <c r="J350" i="2"/>
  <c r="J349" i="2" s="1"/>
  <c r="J628" i="2" s="1"/>
  <c r="H350" i="2"/>
  <c r="G350" i="2"/>
  <c r="G349" i="2" s="1"/>
  <c r="G628" i="2" s="1"/>
  <c r="F350" i="2"/>
  <c r="F349" i="2" s="1"/>
  <c r="F628" i="2" s="1"/>
  <c r="E350" i="2"/>
  <c r="E349" i="2" s="1"/>
  <c r="E628" i="2" s="1"/>
  <c r="D350" i="2"/>
  <c r="D349" i="2" s="1"/>
  <c r="D628" i="2" s="1"/>
  <c r="C350" i="2"/>
  <c r="C349" i="2" s="1"/>
  <c r="C628" i="2" s="1"/>
  <c r="K347" i="2"/>
  <c r="J347" i="2"/>
  <c r="H347" i="2"/>
  <c r="G347" i="2"/>
  <c r="F347" i="2"/>
  <c r="E347" i="2"/>
  <c r="D347" i="2"/>
  <c r="C347" i="2"/>
  <c r="K345" i="2"/>
  <c r="J345" i="2"/>
  <c r="H345" i="2"/>
  <c r="G345" i="2"/>
  <c r="F345" i="2"/>
  <c r="E345" i="2"/>
  <c r="D345" i="2"/>
  <c r="C345" i="2"/>
  <c r="K340" i="2"/>
  <c r="J340" i="2"/>
  <c r="H340" i="2"/>
  <c r="G340" i="2"/>
  <c r="F340" i="2"/>
  <c r="E340" i="2"/>
  <c r="D340" i="2"/>
  <c r="C340" i="2"/>
  <c r="K305" i="2"/>
  <c r="J305" i="2"/>
  <c r="H305" i="2"/>
  <c r="G305" i="2"/>
  <c r="G284" i="2" s="1"/>
  <c r="G283" i="2" s="1"/>
  <c r="F305" i="2"/>
  <c r="F284" i="2" s="1"/>
  <c r="F283" i="2" s="1"/>
  <c r="E305" i="2"/>
  <c r="E284" i="2" s="1"/>
  <c r="E283" i="2" s="1"/>
  <c r="D305" i="2"/>
  <c r="D284" i="2" s="1"/>
  <c r="D283" i="2" s="1"/>
  <c r="C305" i="2"/>
  <c r="C284" i="2" s="1"/>
  <c r="C283" i="2" s="1"/>
  <c r="K281" i="2"/>
  <c r="J281" i="2"/>
  <c r="H281" i="2"/>
  <c r="G281" i="2"/>
  <c r="F281" i="2"/>
  <c r="E281" i="2"/>
  <c r="D281" i="2"/>
  <c r="C281" i="2"/>
  <c r="K278" i="2"/>
  <c r="J278" i="2"/>
  <c r="H278" i="2"/>
  <c r="G278" i="2"/>
  <c r="F278" i="2"/>
  <c r="E278" i="2"/>
  <c r="D278" i="2"/>
  <c r="C278" i="2"/>
  <c r="K273" i="2"/>
  <c r="J273" i="2"/>
  <c r="H273" i="2"/>
  <c r="G273" i="2"/>
  <c r="F273" i="2"/>
  <c r="E273" i="2"/>
  <c r="D273" i="2"/>
  <c r="C273" i="2"/>
  <c r="K271" i="2"/>
  <c r="J271" i="2"/>
  <c r="H271" i="2"/>
  <c r="G271" i="2"/>
  <c r="F271" i="2"/>
  <c r="E271" i="2"/>
  <c r="D271" i="2"/>
  <c r="C271" i="2"/>
  <c r="K284" i="2" l="1"/>
  <c r="K283" i="2" s="1"/>
  <c r="J284" i="2"/>
  <c r="J283" i="2" s="1"/>
  <c r="J270" i="2"/>
  <c r="H270" i="2"/>
  <c r="K270" i="2"/>
  <c r="C270" i="2"/>
  <c r="C269" i="2" s="1"/>
  <c r="D270" i="2"/>
  <c r="E270" i="2"/>
  <c r="E269" i="2" s="1"/>
  <c r="F270" i="2"/>
  <c r="F269" i="2" s="1"/>
  <c r="G270" i="2"/>
  <c r="G269" i="2" s="1"/>
  <c r="H481" i="2"/>
  <c r="H501" i="2"/>
  <c r="H284" i="2"/>
  <c r="H585" i="2"/>
  <c r="H605" i="2"/>
  <c r="H349" i="2"/>
  <c r="H476" i="2"/>
  <c r="F381" i="2"/>
  <c r="F380" i="2" s="1"/>
  <c r="G381" i="2"/>
  <c r="H381" i="2"/>
  <c r="E381" i="2"/>
  <c r="E380" i="2" s="1"/>
  <c r="C381" i="2"/>
  <c r="C380" i="2" s="1"/>
  <c r="D381" i="2"/>
  <c r="D380" i="2" s="1"/>
  <c r="J381" i="2"/>
  <c r="K381" i="2"/>
  <c r="C421" i="2"/>
  <c r="C420" i="2" s="1"/>
  <c r="D421" i="2"/>
  <c r="D420" i="2" s="1"/>
  <c r="F421" i="2"/>
  <c r="F420" i="2" s="1"/>
  <c r="G421" i="2"/>
  <c r="G420" i="2" s="1"/>
  <c r="J421" i="2"/>
  <c r="J420" i="2" s="1"/>
  <c r="K421" i="2"/>
  <c r="K420" i="2" s="1"/>
  <c r="D269" i="2"/>
  <c r="J269" i="2"/>
  <c r="E421" i="2"/>
  <c r="E420" i="2" s="1"/>
  <c r="H421" i="2"/>
  <c r="D561" i="2"/>
  <c r="D560" i="2" s="1"/>
  <c r="F561" i="2"/>
  <c r="F560" i="2" s="1"/>
  <c r="G561" i="2"/>
  <c r="G560" i="2" s="1"/>
  <c r="J561" i="2"/>
  <c r="J560" i="2" s="1"/>
  <c r="C561" i="2"/>
  <c r="C560" i="2" s="1"/>
  <c r="E561" i="2"/>
  <c r="E560" i="2" s="1"/>
  <c r="H561" i="2"/>
  <c r="K561" i="2"/>
  <c r="K560" i="2" s="1"/>
  <c r="G519" i="2"/>
  <c r="G518" i="2" s="1"/>
  <c r="H519" i="2"/>
  <c r="C505" i="2"/>
  <c r="C504" i="2" s="1"/>
  <c r="K571" i="2"/>
  <c r="K570" i="2" s="1"/>
  <c r="H505" i="2"/>
  <c r="G413" i="2"/>
  <c r="G412" i="2" s="1"/>
  <c r="C571" i="2"/>
  <c r="C570" i="2" s="1"/>
  <c r="J505" i="2"/>
  <c r="J504" i="2" s="1"/>
  <c r="J486" i="2"/>
  <c r="J485" i="2" s="1"/>
  <c r="J339" i="2"/>
  <c r="H339" i="2"/>
  <c r="K339" i="2"/>
  <c r="C413" i="2"/>
  <c r="C412" i="2" s="1"/>
  <c r="C519" i="2"/>
  <c r="C518" i="2" s="1"/>
  <c r="G457" i="2"/>
  <c r="G443" i="2" s="1"/>
  <c r="H457" i="2"/>
  <c r="H593" i="2"/>
  <c r="K486" i="2"/>
  <c r="K485" i="2" s="1"/>
  <c r="J353" i="2"/>
  <c r="J457" i="2"/>
  <c r="J443" i="2" s="1"/>
  <c r="J413" i="2"/>
  <c r="J412" i="2" s="1"/>
  <c r="J519" i="2"/>
  <c r="J518" i="2" s="1"/>
  <c r="F531" i="2"/>
  <c r="F530" i="2" s="1"/>
  <c r="J571" i="2"/>
  <c r="J570" i="2" s="1"/>
  <c r="C486" i="2"/>
  <c r="C485" i="2" s="1"/>
  <c r="J531" i="2"/>
  <c r="J530" i="2" s="1"/>
  <c r="H413" i="2"/>
  <c r="H571" i="2"/>
  <c r="J593" i="2"/>
  <c r="J592" i="2" s="1"/>
  <c r="H486" i="2"/>
  <c r="C339" i="2"/>
  <c r="H531" i="2"/>
  <c r="H353" i="2"/>
  <c r="H624" i="2" s="1"/>
  <c r="D21" i="3" s="1"/>
  <c r="G531" i="2"/>
  <c r="G530" i="2" s="1"/>
  <c r="K457" i="2"/>
  <c r="K443" i="2" s="1"/>
  <c r="C593" i="2"/>
  <c r="C592" i="2" s="1"/>
  <c r="K593" i="2"/>
  <c r="K592" i="2" s="1"/>
  <c r="K505" i="2"/>
  <c r="K504" i="2" s="1"/>
  <c r="D593" i="2"/>
  <c r="D592" i="2" s="1"/>
  <c r="E593" i="2"/>
  <c r="E592" i="2" s="1"/>
  <c r="F593" i="2"/>
  <c r="F592" i="2" s="1"/>
  <c r="G593" i="2"/>
  <c r="G592" i="2" s="1"/>
  <c r="E571" i="2"/>
  <c r="E570" i="2" s="1"/>
  <c r="F571" i="2"/>
  <c r="F570" i="2" s="1"/>
  <c r="D571" i="2"/>
  <c r="D570" i="2" s="1"/>
  <c r="G571" i="2"/>
  <c r="G570" i="2" s="1"/>
  <c r="K531" i="2"/>
  <c r="K530" i="2" s="1"/>
  <c r="E531" i="2"/>
  <c r="E530" i="2" s="1"/>
  <c r="C531" i="2"/>
  <c r="C530" i="2" s="1"/>
  <c r="D531" i="2"/>
  <c r="D530" i="2" s="1"/>
  <c r="E519" i="2"/>
  <c r="E518" i="2" s="1"/>
  <c r="K519" i="2"/>
  <c r="K518" i="2" s="1"/>
  <c r="D519" i="2"/>
  <c r="D518" i="2" s="1"/>
  <c r="F519" i="2"/>
  <c r="F518" i="2" s="1"/>
  <c r="E505" i="2"/>
  <c r="E504" i="2" s="1"/>
  <c r="D505" i="2"/>
  <c r="D504" i="2" s="1"/>
  <c r="F505" i="2"/>
  <c r="F504" i="2" s="1"/>
  <c r="G505" i="2"/>
  <c r="G504" i="2" s="1"/>
  <c r="D486" i="2"/>
  <c r="D485" i="2" s="1"/>
  <c r="E486" i="2"/>
  <c r="E485" i="2" s="1"/>
  <c r="F486" i="2"/>
  <c r="F485" i="2" s="1"/>
  <c r="G486" i="2"/>
  <c r="G485" i="2" s="1"/>
  <c r="C457" i="2"/>
  <c r="F457" i="2"/>
  <c r="F443" i="2" s="1"/>
  <c r="D457" i="2"/>
  <c r="D443" i="2" s="1"/>
  <c r="E457" i="2"/>
  <c r="E443" i="2" s="1"/>
  <c r="D413" i="2"/>
  <c r="D412" i="2" s="1"/>
  <c r="F413" i="2"/>
  <c r="F412" i="2" s="1"/>
  <c r="K413" i="2"/>
  <c r="K412" i="2" s="1"/>
  <c r="E413" i="2"/>
  <c r="E412" i="2" s="1"/>
  <c r="G380" i="2"/>
  <c r="G353" i="2"/>
  <c r="G352" i="2" s="1"/>
  <c r="K353" i="2"/>
  <c r="E353" i="2"/>
  <c r="E352" i="2" s="1"/>
  <c r="D353" i="2"/>
  <c r="D352" i="2" s="1"/>
  <c r="F353" i="2"/>
  <c r="F352" i="2" s="1"/>
  <c r="C353" i="2"/>
  <c r="C352" i="2" s="1"/>
  <c r="F339" i="2"/>
  <c r="G339" i="2"/>
  <c r="D339" i="2"/>
  <c r="E339" i="2"/>
  <c r="J380" i="2" l="1"/>
  <c r="J623" i="2"/>
  <c r="E20" i="3" s="1"/>
  <c r="K380" i="2"/>
  <c r="K623" i="2"/>
  <c r="F20" i="3" s="1"/>
  <c r="K352" i="2"/>
  <c r="K624" i="2"/>
  <c r="F21" i="3" s="1"/>
  <c r="H380" i="2"/>
  <c r="H623" i="2"/>
  <c r="D20" i="3" s="1"/>
  <c r="J352" i="2"/>
  <c r="J624" i="2"/>
  <c r="E21" i="3" s="1"/>
  <c r="K269" i="2"/>
  <c r="H504" i="2"/>
  <c r="H420" i="2"/>
  <c r="H269" i="2"/>
  <c r="H592" i="2"/>
  <c r="H475" i="2"/>
  <c r="H283" i="2"/>
  <c r="H584" i="2"/>
  <c r="H443" i="2"/>
  <c r="H628" i="2"/>
  <c r="H530" i="2"/>
  <c r="H485" i="2"/>
  <c r="H560" i="2"/>
  <c r="H604" i="2"/>
  <c r="H500" i="2"/>
  <c r="H352" i="2"/>
  <c r="H570" i="2"/>
  <c r="H412" i="2"/>
  <c r="H518" i="2"/>
  <c r="H480" i="2"/>
  <c r="K338" i="2"/>
  <c r="K626" i="2"/>
  <c r="H338" i="2"/>
  <c r="H626" i="2"/>
  <c r="D23" i="3" s="1"/>
  <c r="J338" i="2"/>
  <c r="J626" i="2"/>
  <c r="C338" i="2"/>
  <c r="C626" i="2"/>
  <c r="G338" i="2"/>
  <c r="G626" i="2"/>
  <c r="E338" i="2"/>
  <c r="E626" i="2"/>
  <c r="D338" i="2"/>
  <c r="D626" i="2"/>
  <c r="F338" i="2"/>
  <c r="F626" i="2"/>
  <c r="K265" i="2" l="1"/>
  <c r="J265" i="2"/>
  <c r="G265" i="2"/>
  <c r="F265" i="2"/>
  <c r="E265" i="2"/>
  <c r="D265" i="2"/>
  <c r="C265" i="2"/>
  <c r="K257" i="2"/>
  <c r="J257" i="2"/>
  <c r="H257" i="2"/>
  <c r="G257" i="2"/>
  <c r="F257" i="2"/>
  <c r="E257" i="2"/>
  <c r="D257" i="2"/>
  <c r="C257" i="2"/>
  <c r="K253" i="2"/>
  <c r="J253" i="2"/>
  <c r="H253" i="2"/>
  <c r="G253" i="2"/>
  <c r="F253" i="2"/>
  <c r="E253" i="2"/>
  <c r="D253" i="2"/>
  <c r="C253" i="2"/>
  <c r="K249" i="2"/>
  <c r="J249" i="2"/>
  <c r="H249" i="2"/>
  <c r="G249" i="2"/>
  <c r="F249" i="2"/>
  <c r="E249" i="2"/>
  <c r="D249" i="2"/>
  <c r="C249" i="2"/>
  <c r="K247" i="2"/>
  <c r="J247" i="2"/>
  <c r="H247" i="2"/>
  <c r="G247" i="2"/>
  <c r="F247" i="2"/>
  <c r="E247" i="2"/>
  <c r="D247" i="2"/>
  <c r="C247" i="2"/>
  <c r="K243" i="2"/>
  <c r="J243" i="2"/>
  <c r="H243" i="2"/>
  <c r="G243" i="2"/>
  <c r="F243" i="2"/>
  <c r="E243" i="2"/>
  <c r="D243" i="2"/>
  <c r="C243" i="2"/>
  <c r="C233" i="2"/>
  <c r="K231" i="2"/>
  <c r="J231" i="2"/>
  <c r="H231" i="2"/>
  <c r="G231" i="2"/>
  <c r="F231" i="2"/>
  <c r="E231" i="2"/>
  <c r="D231" i="2"/>
  <c r="C231" i="2"/>
  <c r="K219" i="2"/>
  <c r="J219" i="2"/>
  <c r="H219" i="2"/>
  <c r="G219" i="2"/>
  <c r="F219" i="2"/>
  <c r="E219" i="2"/>
  <c r="D219" i="2"/>
  <c r="C219" i="2"/>
  <c r="K214" i="2"/>
  <c r="J214" i="2"/>
  <c r="H214" i="2"/>
  <c r="G214" i="2"/>
  <c r="F214" i="2"/>
  <c r="E214" i="2"/>
  <c r="D214" i="2"/>
  <c r="C214" i="2"/>
  <c r="K207" i="2"/>
  <c r="J207" i="2"/>
  <c r="H207" i="2"/>
  <c r="G207" i="2"/>
  <c r="F207" i="2"/>
  <c r="E207" i="2"/>
  <c r="D207" i="2"/>
  <c r="C207" i="2"/>
  <c r="J205" i="2"/>
  <c r="H205" i="2"/>
  <c r="G205" i="2"/>
  <c r="F205" i="2"/>
  <c r="E205" i="2"/>
  <c r="D205" i="2"/>
  <c r="C205" i="2"/>
  <c r="K184" i="2"/>
  <c r="J184" i="2"/>
  <c r="H184" i="2"/>
  <c r="G184" i="2"/>
  <c r="F184" i="2"/>
  <c r="E184" i="2"/>
  <c r="D184" i="2"/>
  <c r="C184" i="2"/>
  <c r="K180" i="2"/>
  <c r="J180" i="2"/>
  <c r="H180" i="2"/>
  <c r="G180" i="2"/>
  <c r="G179" i="2" s="1"/>
  <c r="F180" i="2"/>
  <c r="F179" i="2" s="1"/>
  <c r="E180" i="2"/>
  <c r="E179" i="2" s="1"/>
  <c r="D180" i="2"/>
  <c r="D179" i="2" s="1"/>
  <c r="C180" i="2"/>
  <c r="C179" i="2" s="1"/>
  <c r="K176" i="2"/>
  <c r="K175" i="2" s="1"/>
  <c r="J176" i="2"/>
  <c r="J175" i="2" s="1"/>
  <c r="H176" i="2"/>
  <c r="G176" i="2"/>
  <c r="G175" i="2" s="1"/>
  <c r="G174" i="2" s="1"/>
  <c r="F176" i="2"/>
  <c r="F175" i="2" s="1"/>
  <c r="F174" i="2" s="1"/>
  <c r="E176" i="2"/>
  <c r="E175" i="2" s="1"/>
  <c r="E174" i="2" s="1"/>
  <c r="D176" i="2"/>
  <c r="D175" i="2" s="1"/>
  <c r="D174" i="2" s="1"/>
  <c r="C176" i="2"/>
  <c r="C175" i="2" s="1"/>
  <c r="C174" i="2" s="1"/>
  <c r="K172" i="2"/>
  <c r="J172" i="2"/>
  <c r="H172" i="2"/>
  <c r="G172" i="2"/>
  <c r="F172" i="2"/>
  <c r="E172" i="2"/>
  <c r="D172" i="2"/>
  <c r="C172" i="2"/>
  <c r="K168" i="2"/>
  <c r="J168" i="2"/>
  <c r="H168" i="2"/>
  <c r="G168" i="2"/>
  <c r="F168" i="2"/>
  <c r="E168" i="2"/>
  <c r="D168" i="2"/>
  <c r="C168" i="2"/>
  <c r="K149" i="2"/>
  <c r="J149" i="2"/>
  <c r="H149" i="2"/>
  <c r="G149" i="2"/>
  <c r="F149" i="2"/>
  <c r="E149" i="2"/>
  <c r="D149" i="2"/>
  <c r="C149" i="2"/>
  <c r="K136" i="2"/>
  <c r="J136" i="2"/>
  <c r="H136" i="2"/>
  <c r="G136" i="2"/>
  <c r="F136" i="2"/>
  <c r="E136" i="2"/>
  <c r="D136" i="2"/>
  <c r="C136" i="2"/>
  <c r="K127" i="2"/>
  <c r="J127" i="2"/>
  <c r="H127" i="2"/>
  <c r="G127" i="2"/>
  <c r="F127" i="2"/>
  <c r="E127" i="2"/>
  <c r="D127" i="2"/>
  <c r="C127" i="2"/>
  <c r="K124" i="2"/>
  <c r="J124" i="2"/>
  <c r="H124" i="2"/>
  <c r="G124" i="2"/>
  <c r="F124" i="2"/>
  <c r="E124" i="2"/>
  <c r="D124" i="2"/>
  <c r="C124" i="2"/>
  <c r="K118" i="2"/>
  <c r="J118" i="2"/>
  <c r="H118" i="2"/>
  <c r="G118" i="2"/>
  <c r="F118" i="2"/>
  <c r="E118" i="2"/>
  <c r="D118" i="2"/>
  <c r="C118" i="2"/>
  <c r="K115" i="2"/>
  <c r="J115" i="2"/>
  <c r="G115" i="2"/>
  <c r="F115" i="2"/>
  <c r="E115" i="2"/>
  <c r="D115" i="2"/>
  <c r="C115" i="2"/>
  <c r="K98" i="2"/>
  <c r="J98" i="2"/>
  <c r="H98" i="2"/>
  <c r="G98" i="2"/>
  <c r="F98" i="2"/>
  <c r="E98" i="2"/>
  <c r="D98" i="2"/>
  <c r="C98" i="2"/>
  <c r="K94" i="2"/>
  <c r="K93" i="2" s="1"/>
  <c r="K92" i="2" s="1"/>
  <c r="J94" i="2"/>
  <c r="J93" i="2" s="1"/>
  <c r="J92" i="2" s="1"/>
  <c r="H94" i="2"/>
  <c r="G94" i="2"/>
  <c r="G93" i="2" s="1"/>
  <c r="F94" i="2"/>
  <c r="F93" i="2" s="1"/>
  <c r="E94" i="2"/>
  <c r="E93" i="2" s="1"/>
  <c r="D94" i="2"/>
  <c r="D93" i="2" s="1"/>
  <c r="C94" i="2"/>
  <c r="C93" i="2" s="1"/>
  <c r="K84" i="2"/>
  <c r="K83" i="2" s="1"/>
  <c r="K82" i="2" s="1"/>
  <c r="J84" i="2"/>
  <c r="J83" i="2" s="1"/>
  <c r="J82" i="2" s="1"/>
  <c r="H84" i="2"/>
  <c r="G84" i="2"/>
  <c r="G83" i="2" s="1"/>
  <c r="G82" i="2" s="1"/>
  <c r="F84" i="2"/>
  <c r="F83" i="2" s="1"/>
  <c r="F82" i="2" s="1"/>
  <c r="E84" i="2"/>
  <c r="E83" i="2" s="1"/>
  <c r="E82" i="2" s="1"/>
  <c r="D84" i="2"/>
  <c r="D83" i="2" s="1"/>
  <c r="D82" i="2" s="1"/>
  <c r="C84" i="2"/>
  <c r="C83" i="2" s="1"/>
  <c r="C82" i="2" s="1"/>
  <c r="K80" i="2"/>
  <c r="J80" i="2"/>
  <c r="H80" i="2"/>
  <c r="G80" i="2"/>
  <c r="F80" i="2"/>
  <c r="E80" i="2"/>
  <c r="D80" i="2"/>
  <c r="C80" i="2"/>
  <c r="K75" i="2"/>
  <c r="J75" i="2"/>
  <c r="H75" i="2"/>
  <c r="G75" i="2"/>
  <c r="F75" i="2"/>
  <c r="E75" i="2"/>
  <c r="D75" i="2"/>
  <c r="C75" i="2"/>
  <c r="K73" i="2"/>
  <c r="J73" i="2"/>
  <c r="H73" i="2"/>
  <c r="G73" i="2"/>
  <c r="F73" i="2"/>
  <c r="E73" i="2"/>
  <c r="D73" i="2"/>
  <c r="C73" i="2"/>
  <c r="K54" i="2"/>
  <c r="J54" i="2"/>
  <c r="H54" i="2"/>
  <c r="G54" i="2"/>
  <c r="F54" i="2"/>
  <c r="E54" i="2"/>
  <c r="D54" i="2"/>
  <c r="C54" i="2"/>
  <c r="K51" i="2"/>
  <c r="J51" i="2"/>
  <c r="H51" i="2"/>
  <c r="G51" i="2"/>
  <c r="F51" i="2"/>
  <c r="E51" i="2"/>
  <c r="D51" i="2"/>
  <c r="C51" i="2"/>
  <c r="K46" i="2"/>
  <c r="K45" i="2" s="1"/>
  <c r="K627" i="2" s="1"/>
  <c r="F24" i="3" s="1"/>
  <c r="J46" i="2"/>
  <c r="J45" i="2" s="1"/>
  <c r="J627" i="2" s="1"/>
  <c r="E24" i="3" s="1"/>
  <c r="H46" i="2"/>
  <c r="G46" i="2"/>
  <c r="G45" i="2" s="1"/>
  <c r="G627" i="2" s="1"/>
  <c r="F46" i="2"/>
  <c r="F45" i="2" s="1"/>
  <c r="F627" i="2" s="1"/>
  <c r="E46" i="2"/>
  <c r="E45" i="2" s="1"/>
  <c r="E627" i="2" s="1"/>
  <c r="D46" i="2"/>
  <c r="D45" i="2" s="1"/>
  <c r="D627" i="2" s="1"/>
  <c r="C46" i="2"/>
  <c r="C45" i="2" s="1"/>
  <c r="C627" i="2" s="1"/>
  <c r="C42" i="2"/>
  <c r="C41" i="2" s="1"/>
  <c r="K32" i="2"/>
  <c r="J32" i="2"/>
  <c r="H32" i="2"/>
  <c r="G32" i="2"/>
  <c r="F32" i="2"/>
  <c r="E32" i="2"/>
  <c r="D32" i="2"/>
  <c r="C32" i="2"/>
  <c r="K30" i="2"/>
  <c r="J30" i="2"/>
  <c r="H30" i="2"/>
  <c r="G30" i="2"/>
  <c r="F30" i="2"/>
  <c r="E30" i="2"/>
  <c r="D30" i="2"/>
  <c r="C30" i="2"/>
  <c r="K18" i="2"/>
  <c r="J18" i="2"/>
  <c r="H18" i="2"/>
  <c r="G18" i="2"/>
  <c r="F18" i="2"/>
  <c r="E18" i="2"/>
  <c r="D18" i="2"/>
  <c r="C18" i="2"/>
  <c r="K16" i="2"/>
  <c r="J16" i="2"/>
  <c r="H16" i="2"/>
  <c r="G16" i="2"/>
  <c r="F16" i="2"/>
  <c r="E16" i="2"/>
  <c r="D16" i="2"/>
  <c r="C16" i="2"/>
  <c r="K13" i="2"/>
  <c r="K12" i="2" s="1"/>
  <c r="J13" i="2"/>
  <c r="J12" i="2" s="1"/>
  <c r="H13" i="2"/>
  <c r="G13" i="2"/>
  <c r="G12" i="2" s="1"/>
  <c r="F13" i="2"/>
  <c r="F12" i="2" s="1"/>
  <c r="E13" i="2"/>
  <c r="E12" i="2" s="1"/>
  <c r="D13" i="2"/>
  <c r="D12" i="2" s="1"/>
  <c r="C13" i="2"/>
  <c r="C12" i="2" s="1"/>
  <c r="K10" i="2"/>
  <c r="K9" i="2" s="1"/>
  <c r="J10" i="2"/>
  <c r="J9" i="2" s="1"/>
  <c r="H10" i="2"/>
  <c r="G10" i="2"/>
  <c r="G9" i="2" s="1"/>
  <c r="G616" i="2" s="1"/>
  <c r="F10" i="2"/>
  <c r="F9" i="2" s="1"/>
  <c r="F616" i="2" s="1"/>
  <c r="E10" i="2"/>
  <c r="E9" i="2" s="1"/>
  <c r="E616" i="2" s="1"/>
  <c r="D10" i="2"/>
  <c r="D9" i="2" s="1"/>
  <c r="D616" i="2" s="1"/>
  <c r="C10" i="2"/>
  <c r="C9" i="2" s="1"/>
  <c r="C616" i="2" s="1"/>
  <c r="I613" i="2"/>
  <c r="I612" i="2"/>
  <c r="I611" i="2"/>
  <c r="I610" i="2"/>
  <c r="I609" i="2"/>
  <c r="I608" i="2"/>
  <c r="I607" i="2"/>
  <c r="I603" i="2"/>
  <c r="I602" i="2" s="1"/>
  <c r="I601" i="2"/>
  <c r="I600" i="2"/>
  <c r="I599" i="2"/>
  <c r="I598" i="2"/>
  <c r="I597" i="2"/>
  <c r="I595" i="2"/>
  <c r="I594" i="2" s="1"/>
  <c r="I591" i="2"/>
  <c r="I590" i="2"/>
  <c r="I589" i="2"/>
  <c r="I588" i="2"/>
  <c r="I587" i="2"/>
  <c r="I583" i="2"/>
  <c r="I582" i="2"/>
  <c r="I581" i="2"/>
  <c r="I580" i="2"/>
  <c r="I579" i="2"/>
  <c r="I578" i="2"/>
  <c r="I577" i="2"/>
  <c r="I576" i="2"/>
  <c r="I575" i="2"/>
  <c r="I573" i="2"/>
  <c r="I572" i="2" s="1"/>
  <c r="I569" i="2"/>
  <c r="I568" i="2"/>
  <c r="I567" i="2"/>
  <c r="I565" i="2"/>
  <c r="I563" i="2"/>
  <c r="I562" i="2" s="1"/>
  <c r="I559" i="2"/>
  <c r="I558" i="2" s="1"/>
  <c r="I557" i="2"/>
  <c r="I556" i="2"/>
  <c r="I555" i="2"/>
  <c r="I554" i="2"/>
  <c r="I553" i="2"/>
  <c r="I551" i="2"/>
  <c r="I550" i="2" s="1"/>
  <c r="I549" i="2"/>
  <c r="I548" i="2"/>
  <c r="I547" i="2"/>
  <c r="I546" i="2"/>
  <c r="I545" i="2"/>
  <c r="I544" i="2"/>
  <c r="I543" i="2"/>
  <c r="I542" i="2"/>
  <c r="I541" i="2"/>
  <c r="I540" i="2"/>
  <c r="I539" i="2"/>
  <c r="I537" i="2"/>
  <c r="I536" i="2"/>
  <c r="I535" i="2"/>
  <c r="I534" i="2"/>
  <c r="I533" i="2"/>
  <c r="I529" i="2"/>
  <c r="I528" i="2"/>
  <c r="I527" i="2"/>
  <c r="I526" i="2"/>
  <c r="I525" i="2"/>
  <c r="I524" i="2"/>
  <c r="I523" i="2"/>
  <c r="I521" i="2"/>
  <c r="I520" i="2" s="1"/>
  <c r="I517" i="2"/>
  <c r="I516" i="2"/>
  <c r="I515" i="2"/>
  <c r="I514" i="2"/>
  <c r="I513" i="2"/>
  <c r="I512" i="2"/>
  <c r="I511" i="2"/>
  <c r="I510" i="2"/>
  <c r="I509" i="2"/>
  <c r="I507" i="2"/>
  <c r="I506" i="2" s="1"/>
  <c r="I503" i="2"/>
  <c r="I502" i="2" s="1"/>
  <c r="I501" i="2" s="1"/>
  <c r="I500" i="2" s="1"/>
  <c r="I499" i="2"/>
  <c r="I498" i="2" s="1"/>
  <c r="I497" i="2"/>
  <c r="I496" i="2"/>
  <c r="I495" i="2"/>
  <c r="I494" i="2"/>
  <c r="I493" i="2"/>
  <c r="I492" i="2"/>
  <c r="I491" i="2"/>
  <c r="I490" i="2"/>
  <c r="I488" i="2"/>
  <c r="I487" i="2" s="1"/>
  <c r="I484" i="2"/>
  <c r="I483" i="2"/>
  <c r="I479" i="2"/>
  <c r="I478" i="2"/>
  <c r="I474" i="2"/>
  <c r="I473" i="2"/>
  <c r="I472" i="2"/>
  <c r="I470" i="2"/>
  <c r="I469" i="2"/>
  <c r="I468" i="2"/>
  <c r="I467" i="2"/>
  <c r="I466" i="2"/>
  <c r="I465" i="2"/>
  <c r="I464" i="2"/>
  <c r="I463" i="2"/>
  <c r="I462" i="2"/>
  <c r="I461" i="2"/>
  <c r="I459" i="2"/>
  <c r="I458" i="2" s="1"/>
  <c r="I452" i="2"/>
  <c r="I447" i="2" s="1"/>
  <c r="I444" i="2" s="1"/>
  <c r="I442" i="2"/>
  <c r="I441" i="2" s="1"/>
  <c r="I440" i="2" s="1"/>
  <c r="I439" i="2" s="1"/>
  <c r="I438" i="2"/>
  <c r="I437" i="2" s="1"/>
  <c r="I436" i="2"/>
  <c r="I435" i="2"/>
  <c r="I434" i="2"/>
  <c r="I432" i="2"/>
  <c r="I431" i="2"/>
  <c r="I430" i="2"/>
  <c r="I429" i="2"/>
  <c r="I428" i="2"/>
  <c r="I427" i="2"/>
  <c r="I426" i="2"/>
  <c r="I425" i="2"/>
  <c r="I423" i="2"/>
  <c r="I422" i="2" s="1"/>
  <c r="I419" i="2"/>
  <c r="I418" i="2"/>
  <c r="I417" i="2"/>
  <c r="I415" i="2"/>
  <c r="I414" i="2" s="1"/>
  <c r="I409" i="2"/>
  <c r="I408" i="2"/>
  <c r="I407" i="2"/>
  <c r="I403" i="2"/>
  <c r="I401" i="2"/>
  <c r="I400" i="2" s="1"/>
  <c r="I399" i="2"/>
  <c r="I398" i="2"/>
  <c r="I397" i="2"/>
  <c r="I396" i="2"/>
  <c r="I395" i="2"/>
  <c r="I394" i="2"/>
  <c r="I393" i="2"/>
  <c r="I391" i="2"/>
  <c r="I390" i="2"/>
  <c r="I389" i="2"/>
  <c r="I388" i="2"/>
  <c r="I387" i="2"/>
  <c r="I386" i="2"/>
  <c r="I384" i="2"/>
  <c r="I383" i="2"/>
  <c r="I379" i="2"/>
  <c r="I378" i="2" s="1"/>
  <c r="I377" i="2"/>
  <c r="I376" i="2"/>
  <c r="I375" i="2"/>
  <c r="I374" i="2"/>
  <c r="I373" i="2"/>
  <c r="I372" i="2"/>
  <c r="I371" i="2"/>
  <c r="I369" i="2"/>
  <c r="I368" i="2" s="1"/>
  <c r="I367" i="2"/>
  <c r="I365" i="2"/>
  <c r="I364" i="2"/>
  <c r="I363" i="2"/>
  <c r="I362" i="2"/>
  <c r="I361" i="2"/>
  <c r="I360" i="2"/>
  <c r="I359" i="2"/>
  <c r="I358" i="2"/>
  <c r="I357" i="2"/>
  <c r="I356" i="2"/>
  <c r="I355" i="2"/>
  <c r="I351" i="2"/>
  <c r="I350" i="2" s="1"/>
  <c r="I349" i="2" s="1"/>
  <c r="I628" i="2" s="1"/>
  <c r="I348" i="2"/>
  <c r="I347" i="2" s="1"/>
  <c r="I346" i="2"/>
  <c r="I345" i="2" s="1"/>
  <c r="I344" i="2"/>
  <c r="I343" i="2"/>
  <c r="I342" i="2"/>
  <c r="I341" i="2"/>
  <c r="I306" i="2"/>
  <c r="I305" i="2" s="1"/>
  <c r="I303" i="2"/>
  <c r="I302" i="2"/>
  <c r="I282" i="2"/>
  <c r="I281" i="2" s="1"/>
  <c r="I280" i="2"/>
  <c r="I279" i="2"/>
  <c r="I277" i="2"/>
  <c r="I276" i="2"/>
  <c r="I275" i="2"/>
  <c r="I274" i="2"/>
  <c r="I272" i="2"/>
  <c r="I271" i="2" s="1"/>
  <c r="I268" i="2"/>
  <c r="I267" i="2"/>
  <c r="I266" i="2"/>
  <c r="I262" i="2"/>
  <c r="I261" i="2"/>
  <c r="I260" i="2"/>
  <c r="I258" i="2"/>
  <c r="I257" i="2" s="1"/>
  <c r="I254" i="2"/>
  <c r="I253" i="2" s="1"/>
  <c r="I252" i="2"/>
  <c r="I251" i="2"/>
  <c r="I250" i="2"/>
  <c r="I248" i="2"/>
  <c r="I247" i="2" s="1"/>
  <c r="I244" i="2"/>
  <c r="I243" i="2" s="1"/>
  <c r="I242" i="2"/>
  <c r="I241" i="2"/>
  <c r="I240" i="2"/>
  <c r="I239" i="2"/>
  <c r="I238" i="2"/>
  <c r="I237" i="2"/>
  <c r="I236" i="2"/>
  <c r="I235" i="2"/>
  <c r="I234" i="2"/>
  <c r="I232" i="2"/>
  <c r="I231" i="2" s="1"/>
  <c r="I230" i="2"/>
  <c r="I229" i="2"/>
  <c r="I227" i="2"/>
  <c r="I225" i="2"/>
  <c r="I224" i="2"/>
  <c r="I223" i="2"/>
  <c r="I222" i="2"/>
  <c r="I221" i="2"/>
  <c r="I220" i="2"/>
  <c r="I216" i="2"/>
  <c r="I215" i="2"/>
  <c r="I213" i="2"/>
  <c r="I212" i="2"/>
  <c r="I211" i="2"/>
  <c r="I210" i="2"/>
  <c r="I209" i="2"/>
  <c r="I208" i="2"/>
  <c r="I206" i="2"/>
  <c r="I205" i="2" s="1"/>
  <c r="I204" i="2"/>
  <c r="I203" i="2"/>
  <c r="I202" i="2"/>
  <c r="I201" i="2"/>
  <c r="I200" i="2"/>
  <c r="I199" i="2"/>
  <c r="I198" i="2"/>
  <c r="I197" i="2"/>
  <c r="I196" i="2"/>
  <c r="I195" i="2"/>
  <c r="I194" i="2"/>
  <c r="I193" i="2"/>
  <c r="I191" i="2"/>
  <c r="I190" i="2"/>
  <c r="I189" i="2"/>
  <c r="I188" i="2"/>
  <c r="I187" i="2"/>
  <c r="I186" i="2"/>
  <c r="I185" i="2"/>
  <c r="I181" i="2"/>
  <c r="I180" i="2" s="1"/>
  <c r="I179" i="2" s="1"/>
  <c r="I177" i="2"/>
  <c r="I176" i="2" s="1"/>
  <c r="I175" i="2" s="1"/>
  <c r="I173" i="2"/>
  <c r="I172" i="2" s="1"/>
  <c r="I171" i="2"/>
  <c r="I170" i="2"/>
  <c r="I169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3" i="2"/>
  <c r="I152" i="2"/>
  <c r="I151" i="2"/>
  <c r="I150" i="2"/>
  <c r="I144" i="2"/>
  <c r="I143" i="2"/>
  <c r="I142" i="2"/>
  <c r="I141" i="2"/>
  <c r="I139" i="2"/>
  <c r="I137" i="2"/>
  <c r="I136" i="2" s="1"/>
  <c r="I133" i="2"/>
  <c r="I132" i="2"/>
  <c r="I131" i="2"/>
  <c r="I130" i="2"/>
  <c r="I129" i="2"/>
  <c r="I128" i="2"/>
  <c r="I126" i="2"/>
  <c r="I125" i="2"/>
  <c r="I123" i="2"/>
  <c r="I122" i="2"/>
  <c r="I121" i="2"/>
  <c r="I120" i="2"/>
  <c r="I119" i="2"/>
  <c r="I117" i="2"/>
  <c r="I116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5" i="2"/>
  <c r="I94" i="2" s="1"/>
  <c r="I93" i="2" s="1"/>
  <c r="I92" i="2" s="1"/>
  <c r="I85" i="2"/>
  <c r="I84" i="2" s="1"/>
  <c r="I83" i="2" s="1"/>
  <c r="I82" i="2" s="1"/>
  <c r="I81" i="2"/>
  <c r="I80" i="2" s="1"/>
  <c r="I79" i="2"/>
  <c r="I78" i="2"/>
  <c r="I77" i="2"/>
  <c r="I76" i="2"/>
  <c r="I74" i="2"/>
  <c r="I73" i="2" s="1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3" i="2"/>
  <c r="I52" i="2"/>
  <c r="I48" i="2"/>
  <c r="I47" i="2"/>
  <c r="I44" i="2"/>
  <c r="I43" i="2"/>
  <c r="I36" i="2"/>
  <c r="I35" i="2"/>
  <c r="I34" i="2"/>
  <c r="I33" i="2"/>
  <c r="I31" i="2"/>
  <c r="I30" i="2" s="1"/>
  <c r="I29" i="2"/>
  <c r="I27" i="2"/>
  <c r="I26" i="2"/>
  <c r="I25" i="2"/>
  <c r="I24" i="2"/>
  <c r="I23" i="2"/>
  <c r="I22" i="2"/>
  <c r="I21" i="2"/>
  <c r="I20" i="2"/>
  <c r="I19" i="2"/>
  <c r="I17" i="2"/>
  <c r="I16" i="2" s="1"/>
  <c r="I14" i="2"/>
  <c r="I13" i="2" s="1"/>
  <c r="I12" i="2" s="1"/>
  <c r="I11" i="2"/>
  <c r="I10" i="2" s="1"/>
  <c r="I9" i="2" s="1"/>
  <c r="I174" i="2" l="1"/>
  <c r="J174" i="2"/>
  <c r="J622" i="2"/>
  <c r="E19" i="3" s="1"/>
  <c r="K174" i="2"/>
  <c r="K622" i="2"/>
  <c r="F19" i="3" s="1"/>
  <c r="J616" i="2"/>
  <c r="K616" i="2"/>
  <c r="K179" i="2"/>
  <c r="K620" i="2" s="1"/>
  <c r="J179" i="2"/>
  <c r="J620" i="2" s="1"/>
  <c r="I298" i="2"/>
  <c r="I138" i="2"/>
  <c r="I42" i="2"/>
  <c r="H175" i="2"/>
  <c r="H622" i="2" s="1"/>
  <c r="D19" i="3" s="1"/>
  <c r="H12" i="2"/>
  <c r="H45" i="2"/>
  <c r="H83" i="2"/>
  <c r="H179" i="2"/>
  <c r="H620" i="2" s="1"/>
  <c r="H9" i="2"/>
  <c r="H93" i="2"/>
  <c r="H92" i="2" s="1"/>
  <c r="E622" i="2"/>
  <c r="D622" i="2"/>
  <c r="F622" i="2"/>
  <c r="I564" i="2"/>
  <c r="I561" i="2" s="1"/>
  <c r="I560" i="2" s="1"/>
  <c r="G622" i="2"/>
  <c r="I233" i="2"/>
  <c r="C622" i="2"/>
  <c r="I259" i="2"/>
  <c r="I168" i="2"/>
  <c r="I51" i="2"/>
  <c r="I265" i="2"/>
  <c r="I178" i="2"/>
  <c r="C178" i="2"/>
  <c r="E178" i="2"/>
  <c r="F178" i="2"/>
  <c r="G178" i="2"/>
  <c r="I115" i="2"/>
  <c r="I382" i="2"/>
  <c r="D178" i="2"/>
  <c r="I207" i="2"/>
  <c r="I471" i="2"/>
  <c r="I477" i="2"/>
  <c r="I476" i="2" s="1"/>
  <c r="I475" i="2" s="1"/>
  <c r="I340" i="2"/>
  <c r="I339" i="2" s="1"/>
  <c r="I482" i="2"/>
  <c r="I481" i="2" s="1"/>
  <c r="I480" i="2" s="1"/>
  <c r="I46" i="2"/>
  <c r="I45" i="2" s="1"/>
  <c r="I627" i="2" s="1"/>
  <c r="H246" i="2"/>
  <c r="J246" i="2"/>
  <c r="J245" i="2" s="1"/>
  <c r="J135" i="2"/>
  <c r="K135" i="2"/>
  <c r="I75" i="2"/>
  <c r="I219" i="2"/>
  <c r="I596" i="2"/>
  <c r="I593" i="2" s="1"/>
  <c r="I592" i="2" s="1"/>
  <c r="I278" i="2"/>
  <c r="J146" i="2"/>
  <c r="J621" i="2" s="1"/>
  <c r="E18" i="3" s="1"/>
  <c r="J256" i="2"/>
  <c r="J255" i="2" s="1"/>
  <c r="J183" i="2"/>
  <c r="J182" i="2" s="1"/>
  <c r="I127" i="2"/>
  <c r="I184" i="2"/>
  <c r="J218" i="2"/>
  <c r="H183" i="2"/>
  <c r="C246" i="2"/>
  <c r="C245" i="2" s="1"/>
  <c r="C15" i="2"/>
  <c r="I149" i="2"/>
  <c r="I249" i="2"/>
  <c r="I246" i="2" s="1"/>
  <c r="I245" i="2" s="1"/>
  <c r="I273" i="2"/>
  <c r="I270" i="2" s="1"/>
  <c r="I416" i="2"/>
  <c r="I413" i="2" s="1"/>
  <c r="I433" i="2"/>
  <c r="I522" i="2"/>
  <c r="I519" i="2" s="1"/>
  <c r="I518" i="2" s="1"/>
  <c r="I552" i="2"/>
  <c r="I574" i="2"/>
  <c r="I571" i="2" s="1"/>
  <c r="I570" i="2" s="1"/>
  <c r="H135" i="2"/>
  <c r="K218" i="2"/>
  <c r="H146" i="2"/>
  <c r="K246" i="2"/>
  <c r="K245" i="2" s="1"/>
  <c r="K146" i="2"/>
  <c r="K621" i="2" s="1"/>
  <c r="F18" i="3" s="1"/>
  <c r="I124" i="2"/>
  <c r="I214" i="2"/>
  <c r="K183" i="2"/>
  <c r="K182" i="2" s="1"/>
  <c r="I489" i="2"/>
  <c r="I486" i="2" s="1"/>
  <c r="I485" i="2" s="1"/>
  <c r="C135" i="2"/>
  <c r="I385" i="2"/>
  <c r="I354" i="2"/>
  <c r="H218" i="2"/>
  <c r="H625" i="2" s="1"/>
  <c r="D22" i="3" s="1"/>
  <c r="C256" i="2"/>
  <c r="C255" i="2" s="1"/>
  <c r="I370" i="2"/>
  <c r="J50" i="2"/>
  <c r="J49" i="2" s="1"/>
  <c r="C183" i="2"/>
  <c r="C182" i="2" s="1"/>
  <c r="H256" i="2"/>
  <c r="I538" i="2"/>
  <c r="I508" i="2"/>
  <c r="I505" i="2" s="1"/>
  <c r="I504" i="2" s="1"/>
  <c r="I402" i="2"/>
  <c r="I532" i="2"/>
  <c r="I424" i="2"/>
  <c r="K97" i="2"/>
  <c r="K96" i="2" s="1"/>
  <c r="I32" i="2"/>
  <c r="I460" i="2"/>
  <c r="I586" i="2"/>
  <c r="I585" i="2" s="1"/>
  <c r="I584" i="2" s="1"/>
  <c r="I606" i="2"/>
  <c r="I605" i="2" s="1"/>
  <c r="I604" i="2" s="1"/>
  <c r="K256" i="2"/>
  <c r="K255" i="2" s="1"/>
  <c r="D256" i="2"/>
  <c r="D255" i="2" s="1"/>
  <c r="F256" i="2"/>
  <c r="F255" i="2" s="1"/>
  <c r="E256" i="2"/>
  <c r="E255" i="2" s="1"/>
  <c r="G256" i="2"/>
  <c r="G255" i="2" s="1"/>
  <c r="E246" i="2"/>
  <c r="E245" i="2" s="1"/>
  <c r="D246" i="2"/>
  <c r="D245" i="2" s="1"/>
  <c r="F246" i="2"/>
  <c r="F245" i="2" s="1"/>
  <c r="G246" i="2"/>
  <c r="G245" i="2" s="1"/>
  <c r="E218" i="2"/>
  <c r="E217" i="2" s="1"/>
  <c r="D218" i="2"/>
  <c r="D217" i="2" s="1"/>
  <c r="F218" i="2"/>
  <c r="F217" i="2" s="1"/>
  <c r="G218" i="2"/>
  <c r="G217" i="2" s="1"/>
  <c r="C218" i="2"/>
  <c r="C217" i="2" s="1"/>
  <c r="D183" i="2"/>
  <c r="D182" i="2" s="1"/>
  <c r="E183" i="2"/>
  <c r="E182" i="2" s="1"/>
  <c r="F183" i="2"/>
  <c r="F182" i="2" s="1"/>
  <c r="G183" i="2"/>
  <c r="G182" i="2" s="1"/>
  <c r="G146" i="2"/>
  <c r="G621" i="2" s="1"/>
  <c r="D146" i="2"/>
  <c r="D621" i="2" s="1"/>
  <c r="E146" i="2"/>
  <c r="E621" i="2" s="1"/>
  <c r="F146" i="2"/>
  <c r="F621" i="2" s="1"/>
  <c r="C146" i="2"/>
  <c r="E135" i="2"/>
  <c r="F135" i="2"/>
  <c r="G135" i="2"/>
  <c r="D135" i="2"/>
  <c r="J97" i="2"/>
  <c r="J96" i="2" s="1"/>
  <c r="I54" i="2"/>
  <c r="I118" i="2"/>
  <c r="K15" i="2"/>
  <c r="J15" i="2"/>
  <c r="I18" i="2"/>
  <c r="H50" i="2"/>
  <c r="I98" i="2"/>
  <c r="C92" i="2"/>
  <c r="G92" i="2"/>
  <c r="K50" i="2"/>
  <c r="K49" i="2" s="1"/>
  <c r="H97" i="2"/>
  <c r="C97" i="2"/>
  <c r="C96" i="2" s="1"/>
  <c r="D97" i="2"/>
  <c r="D96" i="2" s="1"/>
  <c r="F97" i="2"/>
  <c r="F96" i="2" s="1"/>
  <c r="E97" i="2"/>
  <c r="E96" i="2" s="1"/>
  <c r="G97" i="2"/>
  <c r="G96" i="2" s="1"/>
  <c r="F92" i="2"/>
  <c r="E92" i="2"/>
  <c r="D92" i="2"/>
  <c r="C50" i="2"/>
  <c r="C49" i="2" s="1"/>
  <c r="E50" i="2"/>
  <c r="E49" i="2" s="1"/>
  <c r="D50" i="2"/>
  <c r="D49" i="2" s="1"/>
  <c r="F50" i="2"/>
  <c r="F49" i="2" s="1"/>
  <c r="G50" i="2"/>
  <c r="G49" i="2" s="1"/>
  <c r="D15" i="2"/>
  <c r="E15" i="2"/>
  <c r="F15" i="2"/>
  <c r="G15" i="2"/>
  <c r="H15" i="2"/>
  <c r="F13" i="3" l="1"/>
  <c r="E13" i="3"/>
  <c r="I284" i="2"/>
  <c r="J8" i="2"/>
  <c r="I135" i="2"/>
  <c r="K619" i="2"/>
  <c r="F16" i="3" s="1"/>
  <c r="K8" i="2"/>
  <c r="I41" i="2"/>
  <c r="K178" i="2"/>
  <c r="J217" i="2"/>
  <c r="J625" i="2"/>
  <c r="E22" i="3" s="1"/>
  <c r="K217" i="2"/>
  <c r="K625" i="2"/>
  <c r="F22" i="3" s="1"/>
  <c r="H621" i="2"/>
  <c r="D18" i="3" s="1"/>
  <c r="H8" i="2"/>
  <c r="J619" i="2"/>
  <c r="E16" i="3" s="1"/>
  <c r="H619" i="2"/>
  <c r="D16" i="3" s="1"/>
  <c r="J178" i="2"/>
  <c r="I256" i="2"/>
  <c r="I255" i="2" s="1"/>
  <c r="H255" i="2"/>
  <c r="H174" i="2"/>
  <c r="H96" i="2"/>
  <c r="H49" i="2"/>
  <c r="H616" i="2"/>
  <c r="H82" i="2"/>
  <c r="H182" i="2"/>
  <c r="H178" i="2"/>
  <c r="H217" i="2"/>
  <c r="H245" i="2"/>
  <c r="H627" i="2"/>
  <c r="D24" i="3" s="1"/>
  <c r="I146" i="2"/>
  <c r="I381" i="2"/>
  <c r="I380" i="2" s="1"/>
  <c r="I269" i="2"/>
  <c r="I421" i="2"/>
  <c r="I420" i="2" s="1"/>
  <c r="E623" i="2"/>
  <c r="F617" i="2"/>
  <c r="D617" i="2"/>
  <c r="I457" i="2"/>
  <c r="I443" i="2" s="1"/>
  <c r="G617" i="2"/>
  <c r="I412" i="2"/>
  <c r="G8" i="2"/>
  <c r="G619" i="2"/>
  <c r="F8" i="2"/>
  <c r="F619" i="2"/>
  <c r="E8" i="2"/>
  <c r="E619" i="2"/>
  <c r="I338" i="2"/>
  <c r="I626" i="2"/>
  <c r="D8" i="2"/>
  <c r="D619" i="2"/>
  <c r="J617" i="2"/>
  <c r="C8" i="2"/>
  <c r="C619" i="2"/>
  <c r="I616" i="2"/>
  <c r="C623" i="2"/>
  <c r="G623" i="2"/>
  <c r="D623" i="2"/>
  <c r="C617" i="2"/>
  <c r="H617" i="2"/>
  <c r="K617" i="2"/>
  <c r="E617" i="2"/>
  <c r="F623" i="2"/>
  <c r="I183" i="2"/>
  <c r="I182" i="2" s="1"/>
  <c r="I218" i="2"/>
  <c r="K134" i="2"/>
  <c r="K7" i="2" s="1"/>
  <c r="C134" i="2"/>
  <c r="J134" i="2"/>
  <c r="H134" i="2"/>
  <c r="I50" i="2"/>
  <c r="I49" i="2" s="1"/>
  <c r="E134" i="2"/>
  <c r="I97" i="2"/>
  <c r="I353" i="2"/>
  <c r="I352" i="2" s="1"/>
  <c r="I531" i="2"/>
  <c r="I530" i="2" s="1"/>
  <c r="I15" i="2"/>
  <c r="F134" i="2"/>
  <c r="D134" i="2"/>
  <c r="G134" i="2"/>
  <c r="D13" i="3" l="1"/>
  <c r="F14" i="3"/>
  <c r="F12" i="3" s="1"/>
  <c r="E14" i="3"/>
  <c r="E12" i="3" s="1"/>
  <c r="D14" i="3"/>
  <c r="J7" i="2"/>
  <c r="J6" i="2" s="1"/>
  <c r="I283" i="2"/>
  <c r="I622" i="2"/>
  <c r="I134" i="2"/>
  <c r="H7" i="2"/>
  <c r="I621" i="2"/>
  <c r="E7" i="2"/>
  <c r="E6" i="2" s="1"/>
  <c r="G7" i="2"/>
  <c r="G6" i="2" s="1"/>
  <c r="D7" i="2"/>
  <c r="D6" i="2" s="1"/>
  <c r="K6" i="2"/>
  <c r="F7" i="2"/>
  <c r="F6" i="2" s="1"/>
  <c r="K629" i="2"/>
  <c r="G629" i="2"/>
  <c r="D629" i="2"/>
  <c r="H629" i="2"/>
  <c r="J629" i="2"/>
  <c r="E629" i="2"/>
  <c r="F629" i="2"/>
  <c r="I217" i="2"/>
  <c r="I623" i="2"/>
  <c r="I8" i="2"/>
  <c r="I619" i="2"/>
  <c r="I96" i="2"/>
  <c r="I617" i="2"/>
  <c r="K80" i="1"/>
  <c r="J80" i="1"/>
  <c r="K69" i="1"/>
  <c r="J69" i="1"/>
  <c r="K40" i="1"/>
  <c r="K26" i="1"/>
  <c r="J40" i="1"/>
  <c r="J26" i="1"/>
  <c r="H150" i="1"/>
  <c r="H80" i="1"/>
  <c r="H69" i="1"/>
  <c r="I69" i="1" s="1"/>
  <c r="H26" i="1"/>
  <c r="I26" i="1" s="1"/>
  <c r="H40" i="1"/>
  <c r="I40" i="1" s="1"/>
  <c r="I54" i="1"/>
  <c r="I53" i="1" s="1"/>
  <c r="I120" i="1"/>
  <c r="I119" i="1" s="1"/>
  <c r="K446" i="1"/>
  <c r="K445" i="1" s="1"/>
  <c r="K444" i="1" s="1"/>
  <c r="J446" i="1"/>
  <c r="J445" i="1" s="1"/>
  <c r="J444" i="1" s="1"/>
  <c r="H446" i="1"/>
  <c r="G446" i="1"/>
  <c r="G445" i="1" s="1"/>
  <c r="G444" i="1" s="1"/>
  <c r="F446" i="1"/>
  <c r="F445" i="1" s="1"/>
  <c r="F444" i="1" s="1"/>
  <c r="E446" i="1"/>
  <c r="E445" i="1" s="1"/>
  <c r="E444" i="1" s="1"/>
  <c r="D446" i="1"/>
  <c r="D445" i="1" s="1"/>
  <c r="D444" i="1" s="1"/>
  <c r="C446" i="1"/>
  <c r="C445" i="1" s="1"/>
  <c r="C444" i="1" s="1"/>
  <c r="K442" i="1"/>
  <c r="J442" i="1"/>
  <c r="H442" i="1"/>
  <c r="G442" i="1"/>
  <c r="F442" i="1"/>
  <c r="E442" i="1"/>
  <c r="D442" i="1"/>
  <c r="C442" i="1"/>
  <c r="K436" i="1"/>
  <c r="J436" i="1"/>
  <c r="H436" i="1"/>
  <c r="G436" i="1"/>
  <c r="F436" i="1"/>
  <c r="E436" i="1"/>
  <c r="D436" i="1"/>
  <c r="C436" i="1"/>
  <c r="K434" i="1"/>
  <c r="J434" i="1"/>
  <c r="H434" i="1"/>
  <c r="G434" i="1"/>
  <c r="F434" i="1"/>
  <c r="E434" i="1"/>
  <c r="D434" i="1"/>
  <c r="C434" i="1"/>
  <c r="K426" i="1"/>
  <c r="J426" i="1"/>
  <c r="H426" i="1"/>
  <c r="G426" i="1"/>
  <c r="F426" i="1"/>
  <c r="E426" i="1"/>
  <c r="D426" i="1"/>
  <c r="C426" i="1"/>
  <c r="K424" i="1"/>
  <c r="J424" i="1"/>
  <c r="H424" i="1"/>
  <c r="G424" i="1"/>
  <c r="F424" i="1"/>
  <c r="E424" i="1"/>
  <c r="D424" i="1"/>
  <c r="C424" i="1"/>
  <c r="K414" i="1"/>
  <c r="J414" i="1"/>
  <c r="H414" i="1"/>
  <c r="H411" i="1" s="1"/>
  <c r="H410" i="1" s="1"/>
  <c r="G414" i="1"/>
  <c r="F414" i="1"/>
  <c r="F411" i="1" s="1"/>
  <c r="F410" i="1" s="1"/>
  <c r="E414" i="1"/>
  <c r="D414" i="1"/>
  <c r="C414" i="1"/>
  <c r="K412" i="1"/>
  <c r="J412" i="1"/>
  <c r="H412" i="1"/>
  <c r="G412" i="1"/>
  <c r="F412" i="1"/>
  <c r="E412" i="1"/>
  <c r="D412" i="1"/>
  <c r="C412" i="1"/>
  <c r="G411" i="1"/>
  <c r="G410" i="1" s="1"/>
  <c r="K401" i="1"/>
  <c r="J401" i="1"/>
  <c r="H401" i="1"/>
  <c r="G401" i="1"/>
  <c r="F401" i="1"/>
  <c r="E401" i="1"/>
  <c r="D401" i="1"/>
  <c r="C401" i="1"/>
  <c r="K399" i="1"/>
  <c r="J399" i="1"/>
  <c r="H399" i="1"/>
  <c r="G399" i="1"/>
  <c r="F399" i="1"/>
  <c r="E399" i="1"/>
  <c r="D399" i="1"/>
  <c r="C399" i="1"/>
  <c r="K393" i="1"/>
  <c r="J393" i="1"/>
  <c r="H393" i="1"/>
  <c r="G393" i="1"/>
  <c r="F393" i="1"/>
  <c r="E393" i="1"/>
  <c r="D393" i="1"/>
  <c r="C393" i="1"/>
  <c r="K382" i="1"/>
  <c r="J382" i="1"/>
  <c r="G382" i="1"/>
  <c r="F382" i="1"/>
  <c r="E382" i="1"/>
  <c r="D382" i="1"/>
  <c r="C382" i="1"/>
  <c r="K380" i="1"/>
  <c r="J380" i="1"/>
  <c r="H380" i="1"/>
  <c r="G380" i="1"/>
  <c r="F380" i="1"/>
  <c r="E380" i="1"/>
  <c r="D380" i="1"/>
  <c r="C380" i="1"/>
  <c r="K376" i="1"/>
  <c r="K375" i="1" s="1"/>
  <c r="J376" i="1"/>
  <c r="J375" i="1" s="1"/>
  <c r="H376" i="1"/>
  <c r="H375" i="1" s="1"/>
  <c r="G376" i="1"/>
  <c r="G375" i="1" s="1"/>
  <c r="G374" i="1" s="1"/>
  <c r="F376" i="1"/>
  <c r="F375" i="1" s="1"/>
  <c r="F374" i="1" s="1"/>
  <c r="E376" i="1"/>
  <c r="E375" i="1" s="1"/>
  <c r="E374" i="1" s="1"/>
  <c r="D376" i="1"/>
  <c r="D375" i="1" s="1"/>
  <c r="D374" i="1" s="1"/>
  <c r="C376" i="1"/>
  <c r="C375" i="1" s="1"/>
  <c r="C374" i="1" s="1"/>
  <c r="K372" i="1"/>
  <c r="J372" i="1"/>
  <c r="H372" i="1"/>
  <c r="G372" i="1"/>
  <c r="F372" i="1"/>
  <c r="E372" i="1"/>
  <c r="D372" i="1"/>
  <c r="C372" i="1"/>
  <c r="K368" i="1"/>
  <c r="J368" i="1"/>
  <c r="H368" i="1"/>
  <c r="G368" i="1"/>
  <c r="F368" i="1"/>
  <c r="E368" i="1"/>
  <c r="D368" i="1"/>
  <c r="C368" i="1"/>
  <c r="K361" i="1"/>
  <c r="J361" i="1"/>
  <c r="H361" i="1"/>
  <c r="G361" i="1"/>
  <c r="F361" i="1"/>
  <c r="E361" i="1"/>
  <c r="D361" i="1"/>
  <c r="C361" i="1"/>
  <c r="K355" i="1"/>
  <c r="J355" i="1"/>
  <c r="H355" i="1"/>
  <c r="G355" i="1"/>
  <c r="F355" i="1"/>
  <c r="E355" i="1"/>
  <c r="D355" i="1"/>
  <c r="C355" i="1"/>
  <c r="K353" i="1"/>
  <c r="J353" i="1"/>
  <c r="H353" i="1"/>
  <c r="G353" i="1"/>
  <c r="F353" i="1"/>
  <c r="E353" i="1"/>
  <c r="D353" i="1"/>
  <c r="C353" i="1"/>
  <c r="C342" i="1"/>
  <c r="K340" i="1"/>
  <c r="K326" i="1" s="1"/>
  <c r="J340" i="1"/>
  <c r="J326" i="1" s="1"/>
  <c r="H340" i="1"/>
  <c r="H326" i="1" s="1"/>
  <c r="G340" i="1"/>
  <c r="G326" i="1" s="1"/>
  <c r="F340" i="1"/>
  <c r="F326" i="1" s="1"/>
  <c r="E340" i="1"/>
  <c r="E326" i="1" s="1"/>
  <c r="D340" i="1"/>
  <c r="D326" i="1" s="1"/>
  <c r="C340" i="1"/>
  <c r="C326" i="1" s="1"/>
  <c r="K323" i="1"/>
  <c r="J323" i="1"/>
  <c r="H323" i="1"/>
  <c r="G323" i="1"/>
  <c r="F323" i="1"/>
  <c r="E323" i="1"/>
  <c r="D323" i="1"/>
  <c r="C323" i="1"/>
  <c r="K315" i="1"/>
  <c r="J315" i="1"/>
  <c r="H315" i="1"/>
  <c r="G315" i="1"/>
  <c r="F315" i="1"/>
  <c r="E315" i="1"/>
  <c r="D315" i="1"/>
  <c r="C315" i="1"/>
  <c r="K313" i="1"/>
  <c r="J313" i="1"/>
  <c r="H313" i="1"/>
  <c r="G313" i="1"/>
  <c r="F313" i="1"/>
  <c r="E313" i="1"/>
  <c r="D313" i="1"/>
  <c r="C313" i="1"/>
  <c r="K270" i="1"/>
  <c r="J270" i="1"/>
  <c r="H270" i="1"/>
  <c r="G270" i="1"/>
  <c r="F270" i="1"/>
  <c r="E270" i="1"/>
  <c r="D270" i="1"/>
  <c r="C270" i="1"/>
  <c r="K261" i="1"/>
  <c r="J261" i="1"/>
  <c r="H261" i="1"/>
  <c r="G261" i="1"/>
  <c r="F261" i="1"/>
  <c r="E261" i="1"/>
  <c r="D261" i="1"/>
  <c r="C261" i="1"/>
  <c r="K258" i="1"/>
  <c r="J258" i="1"/>
  <c r="H258" i="1"/>
  <c r="G258" i="1"/>
  <c r="F258" i="1"/>
  <c r="E258" i="1"/>
  <c r="D258" i="1"/>
  <c r="C258" i="1"/>
  <c r="K254" i="1"/>
  <c r="J254" i="1"/>
  <c r="H254" i="1"/>
  <c r="G254" i="1"/>
  <c r="F254" i="1"/>
  <c r="E254" i="1"/>
  <c r="D254" i="1"/>
  <c r="C254" i="1"/>
  <c r="K248" i="1"/>
  <c r="J248" i="1"/>
  <c r="H248" i="1"/>
  <c r="G248" i="1"/>
  <c r="F248" i="1"/>
  <c r="E248" i="1"/>
  <c r="D248" i="1"/>
  <c r="C248" i="1"/>
  <c r="K238" i="1"/>
  <c r="J238" i="1"/>
  <c r="H238" i="1"/>
  <c r="G238" i="1"/>
  <c r="F238" i="1"/>
  <c r="E238" i="1"/>
  <c r="D238" i="1"/>
  <c r="C238" i="1"/>
  <c r="K235" i="1"/>
  <c r="K489" i="1" s="1"/>
  <c r="J235" i="1"/>
  <c r="J489" i="1" s="1"/>
  <c r="H235" i="1"/>
  <c r="G235" i="1"/>
  <c r="F235" i="1"/>
  <c r="E235" i="1"/>
  <c r="D235" i="1"/>
  <c r="C235" i="1"/>
  <c r="K221" i="1"/>
  <c r="J221" i="1"/>
  <c r="H221" i="1"/>
  <c r="G221" i="1"/>
  <c r="F221" i="1"/>
  <c r="E221" i="1"/>
  <c r="D221" i="1"/>
  <c r="C221" i="1"/>
  <c r="K219" i="1"/>
  <c r="J219" i="1"/>
  <c r="H219" i="1"/>
  <c r="G219" i="1"/>
  <c r="F219" i="1"/>
  <c r="E219" i="1"/>
  <c r="D219" i="1"/>
  <c r="C219" i="1"/>
  <c r="K205" i="1"/>
  <c r="K204" i="1" s="1"/>
  <c r="K203" i="1" s="1"/>
  <c r="J205" i="1"/>
  <c r="J204" i="1" s="1"/>
  <c r="J203" i="1" s="1"/>
  <c r="H205" i="1"/>
  <c r="G205" i="1"/>
  <c r="G204" i="1" s="1"/>
  <c r="F205" i="1"/>
  <c r="F204" i="1" s="1"/>
  <c r="E205" i="1"/>
  <c r="E204" i="1" s="1"/>
  <c r="D205" i="1"/>
  <c r="D204" i="1" s="1"/>
  <c r="C205" i="1"/>
  <c r="C204" i="1" s="1"/>
  <c r="K199" i="1"/>
  <c r="J199" i="1"/>
  <c r="H199" i="1"/>
  <c r="G199" i="1"/>
  <c r="F199" i="1"/>
  <c r="E199" i="1"/>
  <c r="D199" i="1"/>
  <c r="C199" i="1"/>
  <c r="K197" i="1"/>
  <c r="J197" i="1"/>
  <c r="H197" i="1"/>
  <c r="G197" i="1"/>
  <c r="F197" i="1"/>
  <c r="E197" i="1"/>
  <c r="D197" i="1"/>
  <c r="C197" i="1"/>
  <c r="K191" i="1"/>
  <c r="J191" i="1"/>
  <c r="H191" i="1"/>
  <c r="G191" i="1"/>
  <c r="F191" i="1"/>
  <c r="E191" i="1"/>
  <c r="D191" i="1"/>
  <c r="C191" i="1"/>
  <c r="K187" i="1"/>
  <c r="J187" i="1"/>
  <c r="H187" i="1"/>
  <c r="G187" i="1"/>
  <c r="F187" i="1"/>
  <c r="E187" i="1"/>
  <c r="D187" i="1"/>
  <c r="C187" i="1"/>
  <c r="K184" i="1"/>
  <c r="J184" i="1"/>
  <c r="H184" i="1"/>
  <c r="G184" i="1"/>
  <c r="F184" i="1"/>
  <c r="E184" i="1"/>
  <c r="D184" i="1"/>
  <c r="C184" i="1"/>
  <c r="K176" i="1"/>
  <c r="J176" i="1"/>
  <c r="H176" i="1"/>
  <c r="G176" i="1"/>
  <c r="F176" i="1"/>
  <c r="E176" i="1"/>
  <c r="D176" i="1"/>
  <c r="C176" i="1"/>
  <c r="K174" i="1"/>
  <c r="J174" i="1"/>
  <c r="H174" i="1"/>
  <c r="G174" i="1"/>
  <c r="F174" i="1"/>
  <c r="E174" i="1"/>
  <c r="D174" i="1"/>
  <c r="C174" i="1"/>
  <c r="K168" i="1"/>
  <c r="J168" i="1"/>
  <c r="H168" i="1"/>
  <c r="G168" i="1"/>
  <c r="F168" i="1"/>
  <c r="E168" i="1"/>
  <c r="D168" i="1"/>
  <c r="C168" i="1"/>
  <c r="K164" i="1"/>
  <c r="J164" i="1"/>
  <c r="H164" i="1"/>
  <c r="G164" i="1"/>
  <c r="F164" i="1"/>
  <c r="E164" i="1"/>
  <c r="D164" i="1"/>
  <c r="C164" i="1"/>
  <c r="K161" i="1"/>
  <c r="J161" i="1"/>
  <c r="H161" i="1"/>
  <c r="G161" i="1"/>
  <c r="F161" i="1"/>
  <c r="E161" i="1"/>
  <c r="D161" i="1"/>
  <c r="C161" i="1"/>
  <c r="K159" i="1"/>
  <c r="J159" i="1"/>
  <c r="H159" i="1"/>
  <c r="G159" i="1"/>
  <c r="F159" i="1"/>
  <c r="E159" i="1"/>
  <c r="D159" i="1"/>
  <c r="C159" i="1"/>
  <c r="K155" i="1"/>
  <c r="J155" i="1"/>
  <c r="H155" i="1"/>
  <c r="G155" i="1"/>
  <c r="F155" i="1"/>
  <c r="E155" i="1"/>
  <c r="D155" i="1"/>
  <c r="C155" i="1"/>
  <c r="K152" i="1"/>
  <c r="J152" i="1"/>
  <c r="H152" i="1"/>
  <c r="G152" i="1"/>
  <c r="F152" i="1"/>
  <c r="E152" i="1"/>
  <c r="D152" i="1"/>
  <c r="C152" i="1"/>
  <c r="K150" i="1"/>
  <c r="J150" i="1"/>
  <c r="G150" i="1"/>
  <c r="F150" i="1"/>
  <c r="E150" i="1"/>
  <c r="D150" i="1"/>
  <c r="C150" i="1"/>
  <c r="K140" i="1"/>
  <c r="J140" i="1"/>
  <c r="H140" i="1"/>
  <c r="G140" i="1"/>
  <c r="F140" i="1"/>
  <c r="E140" i="1"/>
  <c r="D140" i="1"/>
  <c r="C140" i="1"/>
  <c r="K136" i="1"/>
  <c r="K135" i="1" s="1"/>
  <c r="K134" i="1" s="1"/>
  <c r="J136" i="1"/>
  <c r="J135" i="1" s="1"/>
  <c r="J134" i="1" s="1"/>
  <c r="H136" i="1"/>
  <c r="G136" i="1"/>
  <c r="G135" i="1" s="1"/>
  <c r="G134" i="1" s="1"/>
  <c r="F136" i="1"/>
  <c r="F135" i="1" s="1"/>
  <c r="F134" i="1" s="1"/>
  <c r="E136" i="1"/>
  <c r="E135" i="1" s="1"/>
  <c r="E134" i="1" s="1"/>
  <c r="D136" i="1"/>
  <c r="D135" i="1" s="1"/>
  <c r="D134" i="1" s="1"/>
  <c r="C136" i="1"/>
  <c r="C135" i="1" s="1"/>
  <c r="C134" i="1" s="1"/>
  <c r="K132" i="1"/>
  <c r="J132" i="1"/>
  <c r="H132" i="1"/>
  <c r="G132" i="1"/>
  <c r="F132" i="1"/>
  <c r="E132" i="1"/>
  <c r="D132" i="1"/>
  <c r="C132" i="1"/>
  <c r="K123" i="1"/>
  <c r="J123" i="1"/>
  <c r="H123" i="1"/>
  <c r="G123" i="1"/>
  <c r="F123" i="1"/>
  <c r="E123" i="1"/>
  <c r="D123" i="1"/>
  <c r="C123" i="1"/>
  <c r="K119" i="1"/>
  <c r="J119" i="1"/>
  <c r="H119" i="1"/>
  <c r="G119" i="1"/>
  <c r="F119" i="1"/>
  <c r="E119" i="1"/>
  <c r="D119" i="1"/>
  <c r="C119" i="1"/>
  <c r="K114" i="1"/>
  <c r="J114" i="1"/>
  <c r="H114" i="1"/>
  <c r="G114" i="1"/>
  <c r="F114" i="1"/>
  <c r="E114" i="1"/>
  <c r="D114" i="1"/>
  <c r="C114" i="1"/>
  <c r="K112" i="1"/>
  <c r="J112" i="1"/>
  <c r="H112" i="1"/>
  <c r="G112" i="1"/>
  <c r="F112" i="1"/>
  <c r="E112" i="1"/>
  <c r="D112" i="1"/>
  <c r="C112" i="1"/>
  <c r="K91" i="1"/>
  <c r="J91" i="1"/>
  <c r="H91" i="1"/>
  <c r="G91" i="1"/>
  <c r="F91" i="1"/>
  <c r="E91" i="1"/>
  <c r="D91" i="1"/>
  <c r="C91" i="1"/>
  <c r="K84" i="1"/>
  <c r="K83" i="1" s="1"/>
  <c r="K82" i="1" s="1"/>
  <c r="J84" i="1"/>
  <c r="J83" i="1" s="1"/>
  <c r="J82" i="1" s="1"/>
  <c r="H84" i="1"/>
  <c r="H83" i="1" s="1"/>
  <c r="H82" i="1" s="1"/>
  <c r="G84" i="1"/>
  <c r="G83" i="1" s="1"/>
  <c r="G82" i="1" s="1"/>
  <c r="F84" i="1"/>
  <c r="F83" i="1" s="1"/>
  <c r="F82" i="1" s="1"/>
  <c r="E84" i="1"/>
  <c r="E83" i="1" s="1"/>
  <c r="E82" i="1" s="1"/>
  <c r="D84" i="1"/>
  <c r="D83" i="1" s="1"/>
  <c r="D82" i="1" s="1"/>
  <c r="C84" i="1"/>
  <c r="C83" i="1" s="1"/>
  <c r="C82" i="1" s="1"/>
  <c r="G66" i="1"/>
  <c r="F66" i="1"/>
  <c r="E66" i="1"/>
  <c r="D66" i="1"/>
  <c r="C66" i="1"/>
  <c r="K61" i="1"/>
  <c r="J61" i="1"/>
  <c r="H61" i="1"/>
  <c r="G61" i="1"/>
  <c r="F61" i="1"/>
  <c r="E61" i="1"/>
  <c r="D61" i="1"/>
  <c r="C61" i="1"/>
  <c r="K56" i="1"/>
  <c r="J56" i="1"/>
  <c r="H56" i="1"/>
  <c r="G56" i="1"/>
  <c r="F56" i="1"/>
  <c r="E56" i="1"/>
  <c r="D56" i="1"/>
  <c r="C56" i="1"/>
  <c r="K49" i="1"/>
  <c r="J49" i="1"/>
  <c r="H49" i="1"/>
  <c r="G49" i="1"/>
  <c r="F49" i="1"/>
  <c r="E49" i="1"/>
  <c r="D49" i="1"/>
  <c r="C49" i="1"/>
  <c r="G22" i="1"/>
  <c r="F22" i="1"/>
  <c r="E22" i="1"/>
  <c r="D22" i="1"/>
  <c r="C22" i="1"/>
  <c r="K16" i="1"/>
  <c r="J16" i="1"/>
  <c r="G16" i="1"/>
  <c r="F16" i="1"/>
  <c r="E16" i="1"/>
  <c r="D16" i="1"/>
  <c r="C16" i="1"/>
  <c r="K11" i="1"/>
  <c r="J11" i="1"/>
  <c r="G11" i="1"/>
  <c r="G10" i="1" s="1"/>
  <c r="G9" i="1" s="1"/>
  <c r="F11" i="1"/>
  <c r="F10" i="1" s="1"/>
  <c r="F9" i="1" s="1"/>
  <c r="E11" i="1"/>
  <c r="E10" i="1" s="1"/>
  <c r="E9" i="1" s="1"/>
  <c r="D11" i="1"/>
  <c r="D10" i="1" s="1"/>
  <c r="D9" i="1" s="1"/>
  <c r="C11" i="1"/>
  <c r="C10" i="1" s="1"/>
  <c r="C9" i="1" s="1"/>
  <c r="I454" i="1"/>
  <c r="I453" i="1"/>
  <c r="I452" i="1"/>
  <c r="I451" i="1"/>
  <c r="I450" i="1"/>
  <c r="I449" i="1"/>
  <c r="I448" i="1"/>
  <c r="I447" i="1"/>
  <c r="I443" i="1"/>
  <c r="I442" i="1" s="1"/>
  <c r="I441" i="1"/>
  <c r="I440" i="1"/>
  <c r="I439" i="1"/>
  <c r="I438" i="1"/>
  <c r="I437" i="1"/>
  <c r="I435" i="1"/>
  <c r="I434" i="1" s="1"/>
  <c r="I431" i="1"/>
  <c r="I430" i="1"/>
  <c r="I429" i="1"/>
  <c r="I427" i="1"/>
  <c r="I425" i="1"/>
  <c r="I424" i="1" s="1"/>
  <c r="I421" i="1"/>
  <c r="I420" i="1"/>
  <c r="I419" i="1"/>
  <c r="I418" i="1"/>
  <c r="I417" i="1"/>
  <c r="I416" i="1"/>
  <c r="I415" i="1"/>
  <c r="I413" i="1"/>
  <c r="I412" i="1" s="1"/>
  <c r="I409" i="1"/>
  <c r="I408" i="1"/>
  <c r="I407" i="1"/>
  <c r="I406" i="1"/>
  <c r="I405" i="1"/>
  <c r="I404" i="1"/>
  <c r="I403" i="1"/>
  <c r="I402" i="1"/>
  <c r="I400" i="1"/>
  <c r="I399" i="1" s="1"/>
  <c r="I396" i="1"/>
  <c r="I395" i="1"/>
  <c r="I394" i="1"/>
  <c r="I392" i="1"/>
  <c r="I391" i="1"/>
  <c r="I390" i="1"/>
  <c r="I389" i="1"/>
  <c r="I388" i="1"/>
  <c r="I387" i="1"/>
  <c r="I386" i="1"/>
  <c r="I385" i="1"/>
  <c r="I384" i="1"/>
  <c r="I383" i="1"/>
  <c r="I381" i="1"/>
  <c r="I380" i="1" s="1"/>
  <c r="I377" i="1"/>
  <c r="I376" i="1" s="1"/>
  <c r="I373" i="1"/>
  <c r="I372" i="1" s="1"/>
  <c r="I371" i="1"/>
  <c r="I370" i="1"/>
  <c r="I369" i="1"/>
  <c r="I367" i="1"/>
  <c r="I366" i="1"/>
  <c r="I365" i="1"/>
  <c r="I364" i="1"/>
  <c r="I363" i="1"/>
  <c r="I362" i="1"/>
  <c r="I358" i="1"/>
  <c r="I357" i="1"/>
  <c r="I356" i="1"/>
  <c r="I354" i="1"/>
  <c r="I353" i="1" s="1"/>
  <c r="I348" i="1"/>
  <c r="I347" i="1"/>
  <c r="I346" i="1"/>
  <c r="I343" i="1"/>
  <c r="I341" i="1"/>
  <c r="I340" i="1" s="1"/>
  <c r="I337" i="1"/>
  <c r="I336" i="1"/>
  <c r="I335" i="1"/>
  <c r="I334" i="1"/>
  <c r="I333" i="1"/>
  <c r="I332" i="1"/>
  <c r="I331" i="1"/>
  <c r="I329" i="1"/>
  <c r="I324" i="1"/>
  <c r="I323" i="1" s="1"/>
  <c r="I322" i="1"/>
  <c r="I321" i="1"/>
  <c r="I320" i="1"/>
  <c r="I319" i="1"/>
  <c r="I318" i="1"/>
  <c r="I317" i="1"/>
  <c r="I314" i="1"/>
  <c r="I313" i="1" s="1"/>
  <c r="I311" i="1"/>
  <c r="I309" i="1"/>
  <c r="I308" i="1"/>
  <c r="I307" i="1"/>
  <c r="I306" i="1"/>
  <c r="I305" i="1"/>
  <c r="I304" i="1"/>
  <c r="I271" i="1"/>
  <c r="I270" i="1" s="1"/>
  <c r="I269" i="1"/>
  <c r="I268" i="1"/>
  <c r="I262" i="1"/>
  <c r="I261" i="1" s="1"/>
  <c r="I260" i="1"/>
  <c r="I259" i="1"/>
  <c r="I257" i="1"/>
  <c r="I256" i="1"/>
  <c r="I255" i="1"/>
  <c r="I251" i="1"/>
  <c r="I250" i="1"/>
  <c r="I249" i="1"/>
  <c r="I245" i="1"/>
  <c r="I244" i="1"/>
  <c r="I243" i="1"/>
  <c r="I239" i="1"/>
  <c r="I238" i="1" s="1"/>
  <c r="I237" i="1"/>
  <c r="I236" i="1"/>
  <c r="I230" i="1"/>
  <c r="I229" i="1"/>
  <c r="I228" i="1"/>
  <c r="I227" i="1"/>
  <c r="I226" i="1"/>
  <c r="I225" i="1"/>
  <c r="I224" i="1"/>
  <c r="I223" i="1"/>
  <c r="I222" i="1"/>
  <c r="I220" i="1"/>
  <c r="I219" i="1" s="1"/>
  <c r="I217" i="1"/>
  <c r="I216" i="1"/>
  <c r="I213" i="1"/>
  <c r="I212" i="1"/>
  <c r="I211" i="1"/>
  <c r="I210" i="1"/>
  <c r="I206" i="1"/>
  <c r="I205" i="1" s="1"/>
  <c r="I204" i="1" s="1"/>
  <c r="I203" i="1" s="1"/>
  <c r="I202" i="1"/>
  <c r="I201" i="1"/>
  <c r="I200" i="1"/>
  <c r="I198" i="1"/>
  <c r="I197" i="1" s="1"/>
  <c r="I196" i="1"/>
  <c r="I195" i="1"/>
  <c r="I194" i="1"/>
  <c r="I192" i="1"/>
  <c r="I188" i="1"/>
  <c r="I187" i="1" s="1"/>
  <c r="I186" i="1"/>
  <c r="I185" i="1"/>
  <c r="I181" i="1"/>
  <c r="I180" i="1"/>
  <c r="I179" i="1"/>
  <c r="I178" i="1"/>
  <c r="I177" i="1"/>
  <c r="I175" i="1"/>
  <c r="I174" i="1" s="1"/>
  <c r="I173" i="1"/>
  <c r="I172" i="1"/>
  <c r="I171" i="1"/>
  <c r="I170" i="1"/>
  <c r="I169" i="1"/>
  <c r="I165" i="1"/>
  <c r="I164" i="1" s="1"/>
  <c r="I163" i="1"/>
  <c r="I162" i="1"/>
  <c r="I160" i="1"/>
  <c r="I159" i="1" s="1"/>
  <c r="I156" i="1"/>
  <c r="I155" i="1" s="1"/>
  <c r="I154" i="1"/>
  <c r="I153" i="1"/>
  <c r="I149" i="1"/>
  <c r="I148" i="1"/>
  <c r="I147" i="1"/>
  <c r="I146" i="1"/>
  <c r="I145" i="1"/>
  <c r="I144" i="1"/>
  <c r="I143" i="1"/>
  <c r="I142" i="1"/>
  <c r="I141" i="1"/>
  <c r="I137" i="1"/>
  <c r="I136" i="1" s="1"/>
  <c r="I135" i="1" s="1"/>
  <c r="I134" i="1" s="1"/>
  <c r="I133" i="1"/>
  <c r="I132" i="1" s="1"/>
  <c r="I131" i="1"/>
  <c r="I130" i="1"/>
  <c r="I129" i="1"/>
  <c r="I128" i="1"/>
  <c r="I127" i="1"/>
  <c r="I126" i="1"/>
  <c r="I125" i="1"/>
  <c r="I124" i="1"/>
  <c r="I118" i="1"/>
  <c r="I117" i="1"/>
  <c r="I116" i="1"/>
  <c r="I115" i="1"/>
  <c r="I113" i="1"/>
  <c r="I112" i="1" s="1"/>
  <c r="I111" i="1"/>
  <c r="I110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88" i="1"/>
  <c r="I87" i="1"/>
  <c r="I86" i="1"/>
  <c r="I85" i="1"/>
  <c r="I81" i="1"/>
  <c r="I79" i="1"/>
  <c r="I78" i="1"/>
  <c r="I77" i="1"/>
  <c r="I76" i="1"/>
  <c r="I75" i="1"/>
  <c r="I74" i="1"/>
  <c r="I73" i="1"/>
  <c r="I72" i="1"/>
  <c r="I71" i="1"/>
  <c r="I70" i="1"/>
  <c r="I68" i="1"/>
  <c r="I67" i="1"/>
  <c r="I65" i="1"/>
  <c r="I64" i="1"/>
  <c r="I63" i="1"/>
  <c r="I62" i="1"/>
  <c r="I58" i="1"/>
  <c r="I57" i="1"/>
  <c r="I52" i="1"/>
  <c r="I51" i="1"/>
  <c r="I50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5" i="1"/>
  <c r="I24" i="1"/>
  <c r="I23" i="1"/>
  <c r="I21" i="1"/>
  <c r="I20" i="1"/>
  <c r="I19" i="1"/>
  <c r="I18" i="1"/>
  <c r="I17" i="1"/>
  <c r="I13" i="1"/>
  <c r="I12" i="1"/>
  <c r="J10" i="1" l="1"/>
  <c r="J9" i="1" s="1"/>
  <c r="K10" i="1"/>
  <c r="K9" i="1" s="1"/>
  <c r="I375" i="1"/>
  <c r="I374" i="1" s="1"/>
  <c r="H489" i="1"/>
  <c r="I303" i="1"/>
  <c r="I209" i="1"/>
  <c r="I327" i="1"/>
  <c r="D12" i="3"/>
  <c r="H6" i="2"/>
  <c r="J22" i="1"/>
  <c r="J15" i="1" s="1"/>
  <c r="J14" i="1" s="1"/>
  <c r="D208" i="1"/>
  <c r="D207" i="1" s="1"/>
  <c r="D325" i="1"/>
  <c r="E208" i="1"/>
  <c r="E207" i="1" s="1"/>
  <c r="E325" i="1"/>
  <c r="F208" i="1"/>
  <c r="F207" i="1" s="1"/>
  <c r="F325" i="1"/>
  <c r="I342" i="1"/>
  <c r="G208" i="1"/>
  <c r="G207" i="1" s="1"/>
  <c r="G325" i="1"/>
  <c r="G398" i="1"/>
  <c r="G397" i="1" s="1"/>
  <c r="H208" i="1"/>
  <c r="H325" i="1"/>
  <c r="J325" i="1"/>
  <c r="K208" i="1"/>
  <c r="K325" i="1"/>
  <c r="I265" i="1"/>
  <c r="I264" i="1" s="1"/>
  <c r="I263" i="1" s="1"/>
  <c r="C208" i="1"/>
  <c r="C207" i="1" s="1"/>
  <c r="J208" i="1"/>
  <c r="I242" i="1"/>
  <c r="C203" i="1"/>
  <c r="D203" i="1"/>
  <c r="E203" i="1"/>
  <c r="F203" i="1"/>
  <c r="G203" i="1"/>
  <c r="I7" i="2"/>
  <c r="I6" i="2" s="1"/>
  <c r="I629" i="2"/>
  <c r="F122" i="1"/>
  <c r="F121" i="1" s="1"/>
  <c r="H264" i="1"/>
  <c r="H263" i="1" s="1"/>
  <c r="H352" i="1"/>
  <c r="H351" i="1" s="1"/>
  <c r="H379" i="1"/>
  <c r="H378" i="1" s="1"/>
  <c r="J264" i="1"/>
  <c r="J263" i="1" s="1"/>
  <c r="G122" i="1"/>
  <c r="G121" i="1" s="1"/>
  <c r="H122" i="1"/>
  <c r="H121" i="1" s="1"/>
  <c r="J66" i="1"/>
  <c r="J60" i="1" s="1"/>
  <c r="J59" i="1" s="1"/>
  <c r="H66" i="1"/>
  <c r="H60" i="1" s="1"/>
  <c r="H59" i="1" s="1"/>
  <c r="K66" i="1"/>
  <c r="K60" i="1" s="1"/>
  <c r="K59" i="1" s="1"/>
  <c r="G60" i="1"/>
  <c r="G59" i="1" s="1"/>
  <c r="F360" i="1"/>
  <c r="F359" i="1" s="1"/>
  <c r="G183" i="1"/>
  <c r="G182" i="1" s="1"/>
  <c r="D90" i="1"/>
  <c r="D89" i="1" s="1"/>
  <c r="E90" i="1"/>
  <c r="E89" i="1" s="1"/>
  <c r="I184" i="1"/>
  <c r="I183" i="1" s="1"/>
  <c r="I182" i="1" s="1"/>
  <c r="F90" i="1"/>
  <c r="F89" i="1" s="1"/>
  <c r="C90" i="1"/>
  <c r="C89" i="1" s="1"/>
  <c r="G90" i="1"/>
  <c r="G89" i="1" s="1"/>
  <c r="I151" i="1"/>
  <c r="I150" i="1" s="1"/>
  <c r="K22" i="1"/>
  <c r="K15" i="1" s="1"/>
  <c r="K14" i="1" s="1"/>
  <c r="I80" i="1"/>
  <c r="I66" i="1" s="1"/>
  <c r="H90" i="1"/>
  <c r="H89" i="1" s="1"/>
  <c r="C158" i="1"/>
  <c r="C157" i="1" s="1"/>
  <c r="G158" i="1"/>
  <c r="G157" i="1" s="1"/>
  <c r="F183" i="1"/>
  <c r="F182" i="1" s="1"/>
  <c r="F352" i="1"/>
  <c r="F351" i="1" s="1"/>
  <c r="J379" i="1"/>
  <c r="J378" i="1" s="1"/>
  <c r="E398" i="1"/>
  <c r="E397" i="1" s="1"/>
  <c r="J398" i="1"/>
  <c r="J90" i="1"/>
  <c r="J89" i="1" s="1"/>
  <c r="G234" i="1"/>
  <c r="G233" i="1" s="1"/>
  <c r="G352" i="1"/>
  <c r="G351" i="1" s="1"/>
  <c r="F379" i="1"/>
  <c r="F378" i="1" s="1"/>
  <c r="F398" i="1"/>
  <c r="F397" i="1" s="1"/>
  <c r="K398" i="1"/>
  <c r="K90" i="1"/>
  <c r="K89" i="1" s="1"/>
  <c r="H234" i="1"/>
  <c r="H233" i="1" s="1"/>
  <c r="K264" i="1"/>
  <c r="K263" i="1" s="1"/>
  <c r="F241" i="1"/>
  <c r="F240" i="1" s="1"/>
  <c r="J139" i="1"/>
  <c r="J138" i="1" s="1"/>
  <c r="C398" i="1"/>
  <c r="C397" i="1" s="1"/>
  <c r="H183" i="1"/>
  <c r="H182" i="1" s="1"/>
  <c r="J253" i="1"/>
  <c r="J252" i="1" s="1"/>
  <c r="G241" i="1"/>
  <c r="G240" i="1" s="1"/>
  <c r="G264" i="1"/>
  <c r="G263" i="1" s="1"/>
  <c r="I161" i="1"/>
  <c r="I158" i="1" s="1"/>
  <c r="I157" i="1" s="1"/>
  <c r="F139" i="1"/>
  <c r="F138" i="1" s="1"/>
  <c r="J411" i="1"/>
  <c r="J410" i="1" s="1"/>
  <c r="J423" i="1"/>
  <c r="J433" i="1"/>
  <c r="J432" i="1" s="1"/>
  <c r="J183" i="1"/>
  <c r="J182" i="1" s="1"/>
  <c r="H139" i="1"/>
  <c r="H138" i="1" s="1"/>
  <c r="I22" i="1"/>
  <c r="D158" i="1"/>
  <c r="D157" i="1" s="1"/>
  <c r="J190" i="1"/>
  <c r="J189" i="1" s="1"/>
  <c r="H398" i="1"/>
  <c r="I446" i="1"/>
  <c r="I445" i="1" s="1"/>
  <c r="I444" i="1" s="1"/>
  <c r="E158" i="1"/>
  <c r="E157" i="1" s="1"/>
  <c r="J241" i="1"/>
  <c r="J240" i="1" s="1"/>
  <c r="I114" i="1"/>
  <c r="I152" i="1"/>
  <c r="I235" i="1"/>
  <c r="I234" i="1" s="1"/>
  <c r="I233" i="1" s="1"/>
  <c r="I393" i="1"/>
  <c r="F234" i="1"/>
  <c r="F233" i="1" s="1"/>
  <c r="F423" i="1"/>
  <c r="F422" i="1" s="1"/>
  <c r="F433" i="1"/>
  <c r="F432" i="1" s="1"/>
  <c r="I436" i="1"/>
  <c r="I433" i="1" s="1"/>
  <c r="I432" i="1" s="1"/>
  <c r="F302" i="1"/>
  <c r="F301" i="1" s="1"/>
  <c r="I16" i="1"/>
  <c r="I61" i="1"/>
  <c r="I315" i="1"/>
  <c r="I382" i="1"/>
  <c r="H158" i="1"/>
  <c r="H157" i="1" s="1"/>
  <c r="J158" i="1"/>
  <c r="J157" i="1" s="1"/>
  <c r="I176" i="1"/>
  <c r="J122" i="1"/>
  <c r="J121" i="1" s="1"/>
  <c r="G423" i="1"/>
  <c r="G422" i="1" s="1"/>
  <c r="F158" i="1"/>
  <c r="F157" i="1" s="1"/>
  <c r="J234" i="1"/>
  <c r="J233" i="1" s="1"/>
  <c r="I11" i="1"/>
  <c r="I10" i="1" s="1"/>
  <c r="I9" i="1" s="1"/>
  <c r="J352" i="1"/>
  <c r="J351" i="1" s="1"/>
  <c r="H423" i="1"/>
  <c r="H204" i="1"/>
  <c r="H203" i="1" s="1"/>
  <c r="H433" i="1"/>
  <c r="H432" i="1" s="1"/>
  <c r="I368" i="1"/>
  <c r="H445" i="1"/>
  <c r="H444" i="1" s="1"/>
  <c r="G190" i="1"/>
  <c r="G189" i="1" s="1"/>
  <c r="H360" i="1"/>
  <c r="H359" i="1" s="1"/>
  <c r="H190" i="1"/>
  <c r="H189" i="1" s="1"/>
  <c r="I248" i="1"/>
  <c r="I414" i="1"/>
  <c r="H253" i="1"/>
  <c r="H252" i="1" s="1"/>
  <c r="J302" i="1"/>
  <c r="J301" i="1" s="1"/>
  <c r="K158" i="1"/>
  <c r="K157" i="1" s="1"/>
  <c r="H135" i="1"/>
  <c r="H134" i="1" s="1"/>
  <c r="F190" i="1"/>
  <c r="F189" i="1" s="1"/>
  <c r="I49" i="1"/>
  <c r="I355" i="1"/>
  <c r="I352" i="1" s="1"/>
  <c r="I351" i="1" s="1"/>
  <c r="I426" i="1"/>
  <c r="I423" i="1" s="1"/>
  <c r="D241" i="1"/>
  <c r="D240" i="1" s="1"/>
  <c r="G253" i="1"/>
  <c r="G252" i="1" s="1"/>
  <c r="I361" i="1"/>
  <c r="I84" i="1"/>
  <c r="I83" i="1" s="1"/>
  <c r="I82" i="1" s="1"/>
  <c r="I221" i="1"/>
  <c r="G15" i="1"/>
  <c r="G14" i="1" s="1"/>
  <c r="J360" i="1"/>
  <c r="J359" i="1" s="1"/>
  <c r="D398" i="1"/>
  <c r="D397" i="1" s="1"/>
  <c r="I191" i="1"/>
  <c r="F167" i="1"/>
  <c r="F166" i="1" s="1"/>
  <c r="H241" i="1"/>
  <c r="H240" i="1" s="1"/>
  <c r="I140" i="1"/>
  <c r="I56" i="1"/>
  <c r="J167" i="1"/>
  <c r="J166" i="1" s="1"/>
  <c r="G379" i="1"/>
  <c r="G378" i="1" s="1"/>
  <c r="G167" i="1"/>
  <c r="G166" i="1" s="1"/>
  <c r="I199" i="1"/>
  <c r="I401" i="1"/>
  <c r="I398" i="1" s="1"/>
  <c r="F60" i="1"/>
  <c r="F59" i="1" s="1"/>
  <c r="H167" i="1"/>
  <c r="H166" i="1" s="1"/>
  <c r="G360" i="1"/>
  <c r="G359" i="1" s="1"/>
  <c r="I91" i="1"/>
  <c r="I254" i="1"/>
  <c r="G139" i="1"/>
  <c r="G138" i="1" s="1"/>
  <c r="G302" i="1"/>
  <c r="G301" i="1" s="1"/>
  <c r="I123" i="1"/>
  <c r="I122" i="1" s="1"/>
  <c r="I121" i="1" s="1"/>
  <c r="I168" i="1"/>
  <c r="I258" i="1"/>
  <c r="F253" i="1"/>
  <c r="F252" i="1" s="1"/>
  <c r="H302" i="1"/>
  <c r="H301" i="1" s="1"/>
  <c r="G433" i="1"/>
  <c r="G432" i="1" s="1"/>
  <c r="K433" i="1"/>
  <c r="K432" i="1" s="1"/>
  <c r="C433" i="1"/>
  <c r="C432" i="1" s="1"/>
  <c r="D433" i="1"/>
  <c r="D432" i="1" s="1"/>
  <c r="E433" i="1"/>
  <c r="E432" i="1" s="1"/>
  <c r="K423" i="1"/>
  <c r="K422" i="1" s="1"/>
  <c r="C423" i="1"/>
  <c r="C422" i="1" s="1"/>
  <c r="D423" i="1"/>
  <c r="D422" i="1" s="1"/>
  <c r="E423" i="1"/>
  <c r="E422" i="1" s="1"/>
  <c r="K411" i="1"/>
  <c r="K410" i="1" s="1"/>
  <c r="C411" i="1"/>
  <c r="C410" i="1" s="1"/>
  <c r="D411" i="1"/>
  <c r="D410" i="1" s="1"/>
  <c r="E411" i="1"/>
  <c r="E410" i="1" s="1"/>
  <c r="K379" i="1"/>
  <c r="K378" i="1" s="1"/>
  <c r="C379" i="1"/>
  <c r="C378" i="1" s="1"/>
  <c r="D379" i="1"/>
  <c r="D378" i="1" s="1"/>
  <c r="E379" i="1"/>
  <c r="E378" i="1" s="1"/>
  <c r="K360" i="1"/>
  <c r="K359" i="1" s="1"/>
  <c r="C360" i="1"/>
  <c r="C359" i="1" s="1"/>
  <c r="D360" i="1"/>
  <c r="D359" i="1" s="1"/>
  <c r="E360" i="1"/>
  <c r="E359" i="1" s="1"/>
  <c r="C352" i="1"/>
  <c r="C351" i="1" s="1"/>
  <c r="D352" i="1"/>
  <c r="D351" i="1" s="1"/>
  <c r="K352" i="1"/>
  <c r="K351" i="1" s="1"/>
  <c r="E352" i="1"/>
  <c r="E351" i="1" s="1"/>
  <c r="C325" i="1"/>
  <c r="K302" i="1"/>
  <c r="K301" i="1" s="1"/>
  <c r="C302" i="1"/>
  <c r="C301" i="1" s="1"/>
  <c r="D302" i="1"/>
  <c r="D301" i="1" s="1"/>
  <c r="E302" i="1"/>
  <c r="E301" i="1" s="1"/>
  <c r="C264" i="1"/>
  <c r="C263" i="1" s="1"/>
  <c r="D264" i="1"/>
  <c r="D263" i="1" s="1"/>
  <c r="E264" i="1"/>
  <c r="E263" i="1" s="1"/>
  <c r="F264" i="1"/>
  <c r="F263" i="1" s="1"/>
  <c r="K253" i="1"/>
  <c r="K252" i="1" s="1"/>
  <c r="C253" i="1"/>
  <c r="C252" i="1" s="1"/>
  <c r="D253" i="1"/>
  <c r="D252" i="1" s="1"/>
  <c r="E253" i="1"/>
  <c r="E252" i="1" s="1"/>
  <c r="K241" i="1"/>
  <c r="K240" i="1" s="1"/>
  <c r="C241" i="1"/>
  <c r="C240" i="1" s="1"/>
  <c r="E241" i="1"/>
  <c r="E240" i="1" s="1"/>
  <c r="K234" i="1"/>
  <c r="K233" i="1" s="1"/>
  <c r="C234" i="1"/>
  <c r="C233" i="1" s="1"/>
  <c r="D234" i="1"/>
  <c r="D233" i="1" s="1"/>
  <c r="E234" i="1"/>
  <c r="E233" i="1" s="1"/>
  <c r="K190" i="1"/>
  <c r="K189" i="1" s="1"/>
  <c r="C190" i="1"/>
  <c r="C189" i="1" s="1"/>
  <c r="D190" i="1"/>
  <c r="D189" i="1" s="1"/>
  <c r="E190" i="1"/>
  <c r="E189" i="1" s="1"/>
  <c r="K183" i="1"/>
  <c r="K182" i="1" s="1"/>
  <c r="C183" i="1"/>
  <c r="C182" i="1" s="1"/>
  <c r="D183" i="1"/>
  <c r="D182" i="1" s="1"/>
  <c r="E183" i="1"/>
  <c r="E182" i="1" s="1"/>
  <c r="K167" i="1"/>
  <c r="K166" i="1" s="1"/>
  <c r="C167" i="1"/>
  <c r="C166" i="1" s="1"/>
  <c r="D167" i="1"/>
  <c r="D166" i="1" s="1"/>
  <c r="E167" i="1"/>
  <c r="E166" i="1" s="1"/>
  <c r="K139" i="1"/>
  <c r="K138" i="1" s="1"/>
  <c r="C139" i="1"/>
  <c r="C138" i="1" s="1"/>
  <c r="D139" i="1"/>
  <c r="D138" i="1" s="1"/>
  <c r="E139" i="1"/>
  <c r="E138" i="1" s="1"/>
  <c r="K122" i="1"/>
  <c r="K121" i="1" s="1"/>
  <c r="C122" i="1"/>
  <c r="C121" i="1" s="1"/>
  <c r="D122" i="1"/>
  <c r="D121" i="1" s="1"/>
  <c r="E122" i="1"/>
  <c r="E121" i="1" s="1"/>
  <c r="C60" i="1"/>
  <c r="C59" i="1" s="1"/>
  <c r="D60" i="1"/>
  <c r="D59" i="1" s="1"/>
  <c r="E60" i="1"/>
  <c r="E59" i="1" s="1"/>
  <c r="F15" i="1"/>
  <c r="F14" i="1" s="1"/>
  <c r="C15" i="1"/>
  <c r="C14" i="1" s="1"/>
  <c r="D15" i="1"/>
  <c r="D14" i="1" s="1"/>
  <c r="E15" i="1"/>
  <c r="E14" i="1" s="1"/>
  <c r="H11" i="1"/>
  <c r="H485" i="1" s="1"/>
  <c r="H16" i="1"/>
  <c r="H22" i="1"/>
  <c r="H374" i="1"/>
  <c r="J374" i="1"/>
  <c r="I326" i="1" l="1"/>
  <c r="K485" i="1"/>
  <c r="J485" i="1"/>
  <c r="F8" i="1"/>
  <c r="D459" i="1"/>
  <c r="C9" i="3" s="1"/>
  <c r="E8" i="1"/>
  <c r="D8" i="1"/>
  <c r="I489" i="1"/>
  <c r="I485" i="1"/>
  <c r="I241" i="1"/>
  <c r="I240" i="1" s="1"/>
  <c r="C459" i="1"/>
  <c r="C632" i="2" s="1"/>
  <c r="I208" i="1"/>
  <c r="F459" i="1"/>
  <c r="F632" i="2" s="1"/>
  <c r="E459" i="1"/>
  <c r="E632" i="2" s="1"/>
  <c r="G459" i="1"/>
  <c r="G632" i="2" s="1"/>
  <c r="K207" i="1"/>
  <c r="K459" i="1"/>
  <c r="J207" i="1"/>
  <c r="J459" i="1"/>
  <c r="H207" i="1"/>
  <c r="H459" i="1"/>
  <c r="K374" i="1"/>
  <c r="J422" i="1"/>
  <c r="I422" i="1"/>
  <c r="H422" i="1"/>
  <c r="I325" i="1"/>
  <c r="G8" i="1"/>
  <c r="G7" i="1" s="1"/>
  <c r="F7" i="1"/>
  <c r="E7" i="1"/>
  <c r="D7" i="1"/>
  <c r="C8" i="1"/>
  <c r="C7" i="1" s="1"/>
  <c r="K397" i="1"/>
  <c r="J397" i="1"/>
  <c r="H397" i="1"/>
  <c r="I397" i="1"/>
  <c r="I190" i="1"/>
  <c r="I189" i="1" s="1"/>
  <c r="I90" i="1"/>
  <c r="I89" i="1" s="1"/>
  <c r="I60" i="1"/>
  <c r="I59" i="1" s="1"/>
  <c r="I360" i="1"/>
  <c r="I359" i="1" s="1"/>
  <c r="I379" i="1"/>
  <c r="I378" i="1" s="1"/>
  <c r="I253" i="1"/>
  <c r="I252" i="1" s="1"/>
  <c r="I139" i="1"/>
  <c r="I138" i="1" s="1"/>
  <c r="I15" i="1"/>
  <c r="I14" i="1" s="1"/>
  <c r="F458" i="1"/>
  <c r="F631" i="2" s="1"/>
  <c r="I167" i="1"/>
  <c r="I166" i="1" s="1"/>
  <c r="G458" i="1"/>
  <c r="G631" i="2" s="1"/>
  <c r="H10" i="1"/>
  <c r="H9" i="1" s="1"/>
  <c r="I302" i="1"/>
  <c r="I301" i="1" s="1"/>
  <c r="I411" i="1"/>
  <c r="I410" i="1" s="1"/>
  <c r="D458" i="1"/>
  <c r="C458" i="1"/>
  <c r="C631" i="2" s="1"/>
  <c r="E458" i="1"/>
  <c r="E631" i="2" s="1"/>
  <c r="H15" i="1"/>
  <c r="H14" i="1" s="1"/>
  <c r="K8" i="1" l="1"/>
  <c r="F9" i="3"/>
  <c r="K490" i="1"/>
  <c r="K491" i="1" s="1"/>
  <c r="E9" i="3"/>
  <c r="J490" i="1"/>
  <c r="J491" i="1" s="1"/>
  <c r="D9" i="3"/>
  <c r="H490" i="1"/>
  <c r="H491" i="1" s="1"/>
  <c r="H8" i="1"/>
  <c r="H7" i="1" s="1"/>
  <c r="J8" i="1"/>
  <c r="J7" i="1" s="1"/>
  <c r="D632" i="2"/>
  <c r="D631" i="2"/>
  <c r="C8" i="3"/>
  <c r="C7" i="3" s="1"/>
  <c r="C11" i="3" s="1"/>
  <c r="C6" i="3" s="1"/>
  <c r="C5" i="3" s="1"/>
  <c r="K7" i="1"/>
  <c r="I207" i="1"/>
  <c r="I8" i="1" s="1"/>
  <c r="I459" i="1"/>
  <c r="I490" i="1" s="1"/>
  <c r="I491" i="1" s="1"/>
  <c r="F460" i="1"/>
  <c r="G460" i="1"/>
  <c r="D460" i="1"/>
  <c r="D468" i="1" s="1"/>
  <c r="I458" i="1"/>
  <c r="I457" i="1" s="1"/>
  <c r="I455" i="1" s="1"/>
  <c r="C460" i="1"/>
  <c r="E460" i="1"/>
  <c r="J632" i="2"/>
  <c r="K632" i="2"/>
  <c r="J458" i="1"/>
  <c r="H458" i="1"/>
  <c r="K458" i="1"/>
  <c r="K457" i="1" s="1"/>
  <c r="K455" i="1" s="1"/>
  <c r="H632" i="2"/>
  <c r="H486" i="1" l="1"/>
  <c r="H487" i="1" s="1"/>
  <c r="H457" i="1"/>
  <c r="H455" i="1" s="1"/>
  <c r="K486" i="1"/>
  <c r="K487" i="1" s="1"/>
  <c r="J457" i="1"/>
  <c r="J455" i="1" s="1"/>
  <c r="J486" i="1"/>
  <c r="J487" i="1" s="1"/>
  <c r="I486" i="1"/>
  <c r="I487" i="1" s="1"/>
  <c r="K631" i="2"/>
  <c r="F8" i="3"/>
  <c r="F7" i="3" s="1"/>
  <c r="J631" i="2"/>
  <c r="E8" i="3"/>
  <c r="E7" i="3" s="1"/>
  <c r="H631" i="2"/>
  <c r="D8" i="3"/>
  <c r="C633" i="2"/>
  <c r="C463" i="1"/>
  <c r="C465" i="1" s="1"/>
  <c r="D633" i="2"/>
  <c r="D635" i="2" s="1"/>
  <c r="D463" i="1"/>
  <c r="D465" i="1" s="1"/>
  <c r="F633" i="2"/>
  <c r="F635" i="2" s="1"/>
  <c r="F463" i="1"/>
  <c r="F465" i="1" s="1"/>
  <c r="E633" i="2"/>
  <c r="E635" i="2" s="1"/>
  <c r="E463" i="1"/>
  <c r="E465" i="1" s="1"/>
  <c r="G633" i="2"/>
  <c r="G635" i="2" s="1"/>
  <c r="G463" i="1"/>
  <c r="G465" i="1" s="1"/>
  <c r="I7" i="1"/>
  <c r="I632" i="2"/>
  <c r="I460" i="1"/>
  <c r="I463" i="1" s="1"/>
  <c r="I465" i="1" s="1"/>
  <c r="I631" i="2"/>
  <c r="J460" i="1"/>
  <c r="K460" i="1"/>
  <c r="H460" i="1"/>
  <c r="E11" i="3" l="1"/>
  <c r="E6" i="3" s="1"/>
  <c r="F11" i="3"/>
  <c r="F6" i="3" s="1"/>
  <c r="D7" i="3"/>
  <c r="H633" i="2"/>
  <c r="H635" i="2" s="1"/>
  <c r="I467" i="1"/>
  <c r="H463" i="1"/>
  <c r="H465" i="1" s="1"/>
  <c r="K633" i="2"/>
  <c r="K635" i="2" s="1"/>
  <c r="K463" i="1"/>
  <c r="K465" i="1" s="1"/>
  <c r="K479" i="1" s="1"/>
  <c r="K481" i="1" s="1"/>
  <c r="J633" i="2"/>
  <c r="J635" i="2" s="1"/>
  <c r="J463" i="1"/>
  <c r="J465" i="1" s="1"/>
  <c r="J479" i="1" s="1"/>
  <c r="J481" i="1" s="1"/>
  <c r="I633" i="2"/>
  <c r="I635" i="2" s="1"/>
  <c r="C443" i="2"/>
  <c r="C7" i="2"/>
  <c r="C6" i="2" s="1"/>
  <c r="C621" i="2"/>
  <c r="C629" i="2" s="1"/>
  <c r="C635" i="2" s="1"/>
  <c r="F5" i="3" l="1"/>
  <c r="E5" i="3"/>
  <c r="H479" i="1"/>
  <c r="H481" i="1" s="1"/>
  <c r="H468" i="1"/>
  <c r="D11" i="3"/>
  <c r="D6" i="3" s="1"/>
  <c r="D5" i="3" l="1"/>
</calcChain>
</file>

<file path=xl/sharedStrings.xml><?xml version="1.0" encoding="utf-8"?>
<sst xmlns="http://schemas.openxmlformats.org/spreadsheetml/2006/main" count="2237" uniqueCount="339">
  <si>
    <t/>
  </si>
  <si>
    <t>Izvorni plan 
2025.
(IP G)</t>
  </si>
  <si>
    <t>Tekući plan 
2025.
(TP G)</t>
  </si>
  <si>
    <t>Izvršenje
2025.
(PLG G)</t>
  </si>
  <si>
    <t>Tekući plan 
2026.
(TP G+1)</t>
  </si>
  <si>
    <t>Tekući plan 
2027.
(TP G+2)</t>
  </si>
  <si>
    <t>prijedlog plana 2026</t>
  </si>
  <si>
    <t>prijedlog plana 2027</t>
  </si>
  <si>
    <t>prijedlog plana 2028</t>
  </si>
  <si>
    <t>Razdjel (O1) - atribut podprograma (P3)</t>
  </si>
  <si>
    <t>EUR</t>
  </si>
  <si>
    <t>040</t>
  </si>
  <si>
    <t>MINISTARSTVO UNUTARNJIH POSLOVA</t>
  </si>
  <si>
    <t>04005</t>
  </si>
  <si>
    <t>Ministarstvo unutarnjih poslova</t>
  </si>
  <si>
    <t>A553101</t>
  </si>
  <si>
    <t>HRVATSKA GORSKA SLUŽBA SPAŠAVANJA</t>
  </si>
  <si>
    <t>11</t>
  </si>
  <si>
    <t>Opći prihodi i primici</t>
  </si>
  <si>
    <t>38</t>
  </si>
  <si>
    <t>Rashodi za donacije, kazne, naknade šteta i kapitalne pomoći</t>
  </si>
  <si>
    <t>3811</t>
  </si>
  <si>
    <t>Tekuće donacije u novcu</t>
  </si>
  <si>
    <t>3821</t>
  </si>
  <si>
    <t>Kapitalne donacije neprofitnim organizacijama</t>
  </si>
  <si>
    <t>A553131</t>
  </si>
  <si>
    <t>ADMINISTRACIJA I UPRAVLJANJE</t>
  </si>
  <si>
    <t>31</t>
  </si>
  <si>
    <t>Rashodi za zaposlene</t>
  </si>
  <si>
    <t>3111</t>
  </si>
  <si>
    <t>Plaće za redovan rad</t>
  </si>
  <si>
    <t>3113</t>
  </si>
  <si>
    <t>Plaće za prekovremeni rad</t>
  </si>
  <si>
    <t>Ostali rashodi za zaposlene</t>
  </si>
  <si>
    <t>3121</t>
  </si>
  <si>
    <t>3131</t>
  </si>
  <si>
    <t>Doprinosi za mirovinsko osiguranje za staž s povećanim trajanjem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</si>
  <si>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</si>
  <si>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</si>
  <si>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</si>
  <si>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</si>
  <si>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</si>
  <si>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</si>
  <si>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</si>
  <si>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</si>
  <si>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</si>
  <si>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</si>
  <si>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</si>
  <si>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</si>
  <si>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</si>
  <si>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</si>
  <si>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</si>
  <si>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</si>
  <si>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</si>
  <si>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</si>
  <si>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</si>
  <si>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</si>
  <si>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</si>
  <si>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</si>
  <si>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</si>
  <si>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</si>
  <si>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</si>
  <si>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</si>
  <si>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</si>
  <si>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</si>
  <si>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</si>
  <si>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</si>
  <si>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</si>
  <si>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</si>
  <si>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</si>
  <si>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</si>
  <si>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</si>
  <si>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</si>
  <si>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</si>
  <si>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</si>
  <si>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</si>
  <si>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</si>
  <si>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Naknade troškova osobama izvan radnog odnosa</t>
  </si>
  <si>
    <t>3241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</si>
  <si>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</si>
  <si>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</si>
  <si>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</si>
  <si>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</si>
  <si>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</si>
  <si>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</si>
  <si>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</si>
  <si>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</si>
  <si>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</si>
  <si>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</si>
  <si>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</si>
  <si>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</si>
  <si>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</si>
  <si>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</si>
  <si>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</si>
  <si>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</si>
  <si>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</si>
  <si>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</si>
  <si>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</si>
  <si>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</si>
  <si>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</si>
  <si>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</si>
  <si>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</si>
  <si>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</si>
  <si>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3721</t>
  </si>
  <si>
    <t>Naknade građanima i kućanstvima u novcu</t>
  </si>
  <si>
    <t>3834</t>
  </si>
  <si>
    <t>Ugovorene kazne i ostale naknade šteta</t>
  </si>
  <si>
    <t>Vlastiti prihodi</t>
  </si>
  <si>
    <t>43</t>
  </si>
  <si>
    <t>Ostali prihodi za posebne namjene</t>
  </si>
  <si>
    <t>51</t>
  </si>
  <si>
    <t>Pomoći EU</t>
  </si>
  <si>
    <t>41</t>
  </si>
  <si>
    <t>Rashodi za nabavu neproizvedene dugotrajne imovine</t>
  </si>
  <si>
    <t>4123</t>
  </si>
  <si>
    <t>Licence</t>
  </si>
  <si>
    <t>42</t>
  </si>
  <si>
    <t>Rashodi za nabavu proizvedene dugotrajne imovine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</si>
  <si>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</si>
  <si>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</si>
  <si>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</si>
  <si>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</si>
  <si>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</si>
  <si>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</si>
  <si>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</si>
  <si>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</si>
  <si>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52</t>
  </si>
  <si>
    <t>Ostale pomoći</t>
  </si>
  <si>
    <t>61</t>
  </si>
  <si>
    <t>Donacije</t>
  </si>
  <si>
    <t>A553158</t>
  </si>
  <si>
    <t>FRONTEX-JAČANJE KOORDINACIJE I OPERATIVNE SURADNJE IZMEĐU DRŽAVA ČLANICA EU NA PODRUČJU UPRAVLJANJA VANJSKIM GRANICAMA</t>
  </si>
  <si>
    <t>3238</t>
  </si>
  <si>
    <t>Računalne usluge</t>
  </si>
  <si>
    <t>45</t>
  </si>
  <si>
    <t>Rashodi za dodatna ulaganja na nefinancijskoj imovini</t>
  </si>
  <si>
    <t>Dodatna ulaganja na građevinskim objektima</t>
  </si>
  <si>
    <t>4511</t>
  </si>
  <si>
    <t>A553175</t>
  </si>
  <si>
    <t>ADMINISTRACIJA I UPRAVLJANJE - ILEGALNE MIGRACIJE</t>
  </si>
  <si>
    <t>A672007</t>
  </si>
  <si>
    <t>RAZMINIRANJE</t>
  </si>
  <si>
    <t>A879008</t>
  </si>
  <si>
    <t>SUSTAV CIVILNE ZAŠTITE</t>
  </si>
  <si>
    <t>4214</t>
  </si>
  <si>
    <t>Ostali građevinski objekti</t>
  </si>
  <si>
    <t>A879016</t>
  </si>
  <si>
    <t>ODRŽAVANJE I OPREMANJE ZRAKOPLOVNIH SNAGA</t>
  </si>
  <si>
    <t>A879027</t>
  </si>
  <si>
    <t>HRVATSKI CRVENI KRIŽ</t>
  </si>
  <si>
    <t>A879032</t>
  </si>
  <si>
    <t>SLUŽENJE VOJNOG ROKA U CIVILNOJ ZAŠTITI</t>
  </si>
  <si>
    <t>K260056</t>
  </si>
  <si>
    <t>IZGRADNJA, KUPNJA I ODRŽAVANJE ZGRADA</t>
  </si>
  <si>
    <t>4212</t>
  </si>
  <si>
    <t>Poslovni objekti</t>
  </si>
  <si>
    <t>K553009</t>
  </si>
  <si>
    <t>POLICIJSKA OPREMA</t>
  </si>
  <si>
    <t>3427</t>
  </si>
  <si>
    <t>Kamate za primljene zajmove od trgovačkih društava i obrtnika izvan javnog sektora</t>
  </si>
  <si>
    <t>4231</t>
  </si>
  <si>
    <t>Prijevozna sredstva u cestovnom prometu</t>
  </si>
  <si>
    <t>4252</t>
  </si>
  <si>
    <t>Osnovno stado</t>
  </si>
  <si>
    <t>K553026</t>
  </si>
  <si>
    <t>IZGRADNJA KAPACITETA U PODRUČJU AZILA VIZNOG SUSTAVA I ILEGALNIH MIGRACIJA</t>
  </si>
  <si>
    <t>K553092</t>
  </si>
  <si>
    <t>NACIONALNI PROGRAM SIGURNOSTI CESTOVNOG PROMETA</t>
  </si>
  <si>
    <t>35</t>
  </si>
  <si>
    <t>Subvencije</t>
  </si>
  <si>
    <t>3512</t>
  </si>
  <si>
    <t>Subvencije trgovačkim društvima u javnom sektoru</t>
  </si>
  <si>
    <t>3522</t>
  </si>
  <si>
    <t>Subvencije trgovačkim društvima i zadrugama izvan javnog sektora</t>
  </si>
  <si>
    <t>36</t>
  </si>
  <si>
    <t>Pomoći dane u inozemstvo i unutar općeg proračuna</t>
  </si>
  <si>
    <t>3631</t>
  </si>
  <si>
    <t>Tekuće pomoći drugom proračunu i izvanproračunskim korisnicima</t>
  </si>
  <si>
    <t>3632</t>
  </si>
  <si>
    <t>Kapitalne pomoći drugom proračunu i izvanproračunskim korisnicima</t>
  </si>
  <si>
    <t>3661</t>
  </si>
  <si>
    <t>Tekuće pomoći proračunskim korisnicima drugih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</si>
  <si>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</si>
  <si>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</si>
  <si>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</si>
  <si>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</si>
  <si>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4225</t>
  </si>
  <si>
    <t>Instrumenti i uređaji</t>
  </si>
  <si>
    <t>4262</t>
  </si>
  <si>
    <t>Ulaganja u računalne programe</t>
  </si>
  <si>
    <t>K553125</t>
  </si>
  <si>
    <t>POTPORE RADU I OPREMANJU POLICIJE</t>
  </si>
  <si>
    <t>K553132</t>
  </si>
  <si>
    <t>INFORMATIZACIJA</t>
  </si>
  <si>
    <t>K849031</t>
  </si>
  <si>
    <t>HELIKOPTERSKA POTPORA SUSTAVU CIVILE ZAŠTITE - VIŠEGODIŠNJI OKVIR 2021-2027.</t>
  </si>
  <si>
    <t>12</t>
  </si>
  <si>
    <t>Sredstva učešća za pomoći</t>
  </si>
  <si>
    <t>4234</t>
  </si>
  <si>
    <t>Prijevozna sredstva u zračnom prometu</t>
  </si>
  <si>
    <t>K849033</t>
  </si>
  <si>
    <t>RESCEU MEHANIZAM - PROTUPOŽARNI ZRAKOPLOVI - VIŠEGODIŠNJI OKVIR 2021-2027.</t>
  </si>
  <si>
    <t>K863004</t>
  </si>
  <si>
    <t>RUTNE I TERMINALNE NAKNADE ZA AKTIVNOSTI POTRAGE I SPAŠAVANJA ZRAKOPLOVA</t>
  </si>
  <si>
    <t>Dodatna ulaganja na prijevoznim sredstvima</t>
  </si>
  <si>
    <t>4531</t>
  </si>
  <si>
    <t>K863024</t>
  </si>
  <si>
    <t>FOND ZA INTEGRIRANO UPRAVLJANJE GRANICAMA - INSTRUMENT ZA FINANCIJSKU POTPORU U PODRUČJU UPRAVLJANJA GRANICAMA I VIZNE POLITIKE 2021.-2027.</t>
  </si>
  <si>
    <t>4233</t>
  </si>
  <si>
    <t>Prijevozna sredstva u pomorskom i riječnom prometu</t>
  </si>
  <si>
    <t>K863025</t>
  </si>
  <si>
    <t>LOGISTIČKO DISTRIBUTIVNO SREDIŠTE ZA OPERATIVNO DJELOVANJE - TRUST</t>
  </si>
  <si>
    <t>K863026</t>
  </si>
  <si>
    <t>SUSTAV NA DALJINSKO UPRAVLJANJE ZA KBRN DEKONTAMINACIJU - DECON</t>
  </si>
  <si>
    <t>K863028</t>
  </si>
  <si>
    <t>IZGRADNJA STRATEŠKIH ZALIHA ZA ODGOVOR NA KBRN KRIZE</t>
  </si>
  <si>
    <t>K863030</t>
  </si>
  <si>
    <t>PROJEKTI SLUŽBI SIGURNOSTI - PROGRAM KONKURENTNOST I KOHEZIJA 2021.-2027. - MUP</t>
  </si>
  <si>
    <t>K879020</t>
  </si>
  <si>
    <t>PROJEKTI IZ NACIONALNOG PLANA OPORAVKA I OTPORNOSTI - MUP - NPOO - C.2.3. I C .2.6.</t>
  </si>
  <si>
    <t>581</t>
  </si>
  <si>
    <t>Mehanizam za oporavak i otpornost</t>
  </si>
  <si>
    <t>815</t>
  </si>
  <si>
    <t>Namjenski primitak - NPOO</t>
  </si>
  <si>
    <t>K879022</t>
  </si>
  <si>
    <t>FOND ZA UNUTARNJU SIGURNOST 2021.-2027.</t>
  </si>
  <si>
    <t>4224</t>
  </si>
  <si>
    <t>Medicinska i laboratorijska oprema</t>
  </si>
  <si>
    <t>K879023</t>
  </si>
  <si>
    <t>FOND ZA AZIL, MIGRACIJE I INTEGRACIJU 2021.-2027.</t>
  </si>
  <si>
    <t>3813</t>
  </si>
  <si>
    <t>Tekuće donacije iz EU sredstava</t>
  </si>
  <si>
    <t>K879024</t>
  </si>
  <si>
    <t>RAZMINIRANJE VIŠEGODIŠNJI OKVIR 2021.-2027.</t>
  </si>
  <si>
    <t>K879028</t>
  </si>
  <si>
    <t>RAZVOJ I ODRŽAVANJE MODULA ZA ZBRINJAVANJE-SHELTER</t>
  </si>
  <si>
    <t>K879029</t>
  </si>
  <si>
    <t>UČINKOVITI LJUDSKI POTENCIJALI - PROGRAM KONKURENTNOST I KOHEZIJA 2021.-2027. - MUP</t>
  </si>
  <si>
    <t>K879031</t>
  </si>
  <si>
    <t>PREKOGRANIČNA STRATEGIJA ZA IZRADU INVENTARA KLIZIŠTA NA NACIONALNOJ RAZINI - LADY</t>
  </si>
  <si>
    <t>T553155</t>
  </si>
  <si>
    <t>IPA 2012 PODRŠKA U PODRUČJU KAZNENOG PROGONA U BOSNI I HERCEGOVINI</t>
  </si>
  <si>
    <t>T553157</t>
  </si>
  <si>
    <t>HORIZON 2020 JAČANJE SURADNJE IZMEĐU POLICIJSKIH SLUŽBI I GRAĐANA - POLICIJA U ZAJEDNICI</t>
  </si>
  <si>
    <t>T553174</t>
  </si>
  <si>
    <t>OBZOR 2020</t>
  </si>
  <si>
    <t>T849032</t>
  </si>
  <si>
    <t>VIDEONADZOR I RANO OTKRIVANJE ŠUMSKIH POŽARA - FIRESTOP - PROGRAM KONKURENTNOST I KOHEZIJA 2021.-2027. - MUP</t>
  </si>
  <si>
    <t>Subvencije trgovačkim društvima, zadrugama, poljoprivrednicima i obrtnicima iz EU sredstava</t>
  </si>
  <si>
    <t>3531</t>
  </si>
  <si>
    <t>T863009</t>
  </si>
  <si>
    <t>PROJEKTI CIVILNE ZAŠTITE</t>
  </si>
  <si>
    <t>T863029</t>
  </si>
  <si>
    <t>IZRADA NACRTA PLANA PODIZANJA SVIJESTI I SUSTAVA ZA PRIKUPLJANJE PODATAKA O GUBITCIMA I ŠTETAMA OD KATASTROFA - DRAW DATA</t>
  </si>
  <si>
    <t>T863031</t>
  </si>
  <si>
    <t>FONDOVI ZA UNUTARNJE POSLOVE 2021.-2027. - TEHNIČKA POMOĆ</t>
  </si>
  <si>
    <t>T863032</t>
  </si>
  <si>
    <t>OTPORNOST I ZAŠTITA KRITIČNIH SUBJEKATA U EUROPI - RECIPE 2024.</t>
  </si>
  <si>
    <t>T879006</t>
  </si>
  <si>
    <t>AMIF - EUROPSKA MIGRACIJSKA MREŽA - NACIONALNA KONTAKT TOČKA</t>
  </si>
  <si>
    <t>T879009</t>
  </si>
  <si>
    <t>PRIJELAZNI RESCEU MEHANIZAM</t>
  </si>
  <si>
    <t>T879012</t>
  </si>
  <si>
    <t>POMOĆ DRŽAVAMA ČLANICAMA U PRIPREMI I IMPLEMENTACIJI AKTIVNOSTI UPRAVLJANJA RIZICIMA - NO RISK BASE</t>
  </si>
  <si>
    <t>T879030</t>
  </si>
  <si>
    <t>OPERATIVNE SNAGE CIVILNE ZAŠTITE ZA ZAŠTITU KULTURNE BAŠTINE</t>
  </si>
  <si>
    <t>UKUPNO LIMITI 11+12</t>
  </si>
  <si>
    <t>razlika u odnosu na plan 2025.g.</t>
  </si>
  <si>
    <t>UKUPNO:</t>
  </si>
  <si>
    <t xml:space="preserve"> UKUPAN PLAN </t>
  </si>
  <si>
    <t>PRIJEDLOG FINANCIJSKOG PLANA 2026-2028 - OSTALI IZVORI</t>
  </si>
  <si>
    <t>K863033</t>
  </si>
  <si>
    <t>'Program konkurentnost i kohezija 2021. - 2027.</t>
  </si>
  <si>
    <t xml:space="preserve"> 34</t>
  </si>
  <si>
    <t xml:space="preserve"> 42</t>
  </si>
  <si>
    <t>PROGRAM KONKURENTNOST I KOHEZIJA 2021. - 2027.</t>
  </si>
  <si>
    <t>3823</t>
  </si>
  <si>
    <t>Kapitalne donacije iz EU sredstava</t>
  </si>
  <si>
    <t>Doprinosi za zdravstveno osiguranje</t>
  </si>
  <si>
    <t>Namjenski primici-NPOO</t>
  </si>
  <si>
    <t>Sveukupno limiti</t>
  </si>
  <si>
    <t>PRORAČUNSKI KORISNIK</t>
  </si>
  <si>
    <t>1 Opći prihodi i primici</t>
  </si>
  <si>
    <t>Izvor 11</t>
  </si>
  <si>
    <t>Izvor 12</t>
  </si>
  <si>
    <t>PRIJEDLOG 2028.</t>
  </si>
  <si>
    <t>NOVI PLAN           2025.</t>
  </si>
  <si>
    <t>PRIJEDLOG           2027.</t>
  </si>
  <si>
    <t>Ukupno limiti 1+815</t>
  </si>
  <si>
    <t>PRIJEDLOG           2026.</t>
  </si>
  <si>
    <t>izvor</t>
  </si>
  <si>
    <t>815 Namjenski primici-NPOO</t>
  </si>
  <si>
    <t>povećanje na projekciju 2026</t>
  </si>
  <si>
    <t>LIMIT MFIN</t>
  </si>
  <si>
    <t>smanjenje</t>
  </si>
  <si>
    <t>naš prijedlog početni</t>
  </si>
  <si>
    <t>ukupno smanjenje</t>
  </si>
  <si>
    <t>novi plan</t>
  </si>
  <si>
    <t xml:space="preserve">smanjenje od MFIN </t>
  </si>
  <si>
    <t>još smanjenje od 3%</t>
  </si>
  <si>
    <t>početni</t>
  </si>
  <si>
    <t>Rebalans
2025.
(TP G)</t>
  </si>
  <si>
    <t>3722</t>
  </si>
  <si>
    <t>Naknade građanima i kućanstvima u naravi</t>
  </si>
  <si>
    <t>51011</t>
  </si>
  <si>
    <t>Programi Unije - predfinanciranje iz izvora 11 Opći prihodi i primici</t>
  </si>
  <si>
    <t>57811</t>
  </si>
  <si>
    <t>51000</t>
  </si>
  <si>
    <t xml:space="preserve">Programi Unije - raspoloživ predujam </t>
  </si>
  <si>
    <t>5011</t>
  </si>
  <si>
    <t>Pomoći iz državnog proračuna kroz opće prihode i primitke</t>
  </si>
  <si>
    <t>56311</t>
  </si>
  <si>
    <t>Europski fond za regionalni razvoj - predfinanciranje iz izvora 11 Opći prihodi i primici</t>
  </si>
  <si>
    <t>Programi Unije  - raspoloživ predujam</t>
  </si>
  <si>
    <t>57911</t>
  </si>
  <si>
    <t>Fond za unutarnju sigurnost - predfinanciranje iz izvora 11 Opći prihodi i primici</t>
  </si>
  <si>
    <t>Fondovi za azil, migracije i integraciju - predfinanciranje iz izvora 11 Opći prihodi i primici</t>
  </si>
  <si>
    <t>58100</t>
  </si>
  <si>
    <t>Mehanizam za oporavak i otpornost - bespovratna sredstva - raspoloživ predujam ili unaprijed naplaćen prihod</t>
  </si>
  <si>
    <t>57511</t>
  </si>
  <si>
    <t>Programi Unije - raspoloživ predujam</t>
  </si>
  <si>
    <t>Fond za azil, migracije i integraciju - predfinanciranje iz izvora 11 Opći prihodi i primici</t>
  </si>
  <si>
    <t>Ministarstvo turizma</t>
  </si>
  <si>
    <t>Gradovi, općine, županije</t>
  </si>
  <si>
    <t>HTZ</t>
  </si>
  <si>
    <t>Fond za integrirano upravljanje granicama - predfinanciranje iz izvora 11 Opći prihodi i primici</t>
  </si>
  <si>
    <t>Ministarstvo demografije i mladih</t>
  </si>
  <si>
    <t xml:space="preserve">OSTALI IZVORI </t>
  </si>
  <si>
    <t>Prilog 2</t>
  </si>
  <si>
    <t>PLAN ZA RAZDOBLJE 2026.-2028. - rekapitulacija</t>
  </si>
  <si>
    <t>Izvor 815</t>
  </si>
  <si>
    <t>Plan 2026.</t>
  </si>
  <si>
    <t>Plan 2027.</t>
  </si>
  <si>
    <t>Plan 2028.</t>
  </si>
  <si>
    <t>OPĆI PRIHODI I PRIMICI (IZVOR 11 I IZVOR 12)</t>
  </si>
  <si>
    <t xml:space="preserve">FINANCIJSKI PLAN ZA RAZDOBLJE 2026.-2028. </t>
  </si>
  <si>
    <t>Prilog 2a</t>
  </si>
  <si>
    <t>KONTO</t>
  </si>
  <si>
    <t>NAZIV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</si>
</sst>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- &quot;@"/>
    <numFmt numFmtId="165" formatCode="#,##0.00;\-\ #,##0.00"/>
    <numFmt numFmtId="166" formatCode="#,##0;\-\ #,##0"/>
  </numFmts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65">
    <xf numFmtId="0" fontId="0" fillId="0" borderId="0"/>
    <xf numFmtId="0" fontId="2" fillId="2" borderId="1" applyBorder="0"/>
    <xf numFmtId="4" fontId="3" fillId="3" borderId="2" applyNumberFormat="0" applyProtection="0">
      <alignment horizontal="left" vertical="center" indent="1" justifyLastLine="1"/>
    </xf>
    <xf numFmtId="4" fontId="4" fillId="2" borderId="3" applyNumberFormat="0" applyProtection="0">
      <alignment horizontal="left" vertical="center" indent="1" justifyLastLine="1"/>
    </xf>
    <xf numFmtId="4" fontId="3" fillId="3" borderId="2" applyNumberFormat="0" applyProtection="0">
      <alignment horizontal="left" vertical="center" indent="1" justifyLastLine="1"/>
    </xf>
    <xf numFmtId="4" fontId="3" fillId="4" borderId="2" applyNumberFormat="0" applyProtection="0">
      <alignment horizontal="right" vertical="center"/>
    </xf>
    <xf numFmtId="4" fontId="3" fillId="5" borderId="2" applyNumberFormat="0" applyProtection="0">
      <alignment horizontal="left" vertical="center" indent="1" justifyLastLine="1"/>
    </xf>
    <xf numFmtId="4" fontId="3" fillId="6" borderId="2" applyNumberFormat="0" applyProtection="0">
      <alignment vertical="center"/>
    </xf>
    <xf numFmtId="0" fontId="3" fillId="7" borderId="2" applyNumberFormat="0" applyProtection="0">
      <alignment horizontal="left" vertical="center" indent="1" justifyLastLine="1"/>
    </xf>
    <xf numFmtId="0" fontId="3" fillId="8" borderId="2" applyNumberFormat="0" applyProtection="0">
      <alignment horizontal="left" vertical="center" indent="1" justifyLastLine="1"/>
    </xf>
    <xf numFmtId="0" fontId="3" fillId="9" borderId="2" applyNumberFormat="0" applyProtection="0">
      <alignment horizontal="left" vertical="center" indent="1" justifyLastLine="1"/>
    </xf>
    <xf numFmtId="0" fontId="3" fillId="10" borderId="2" applyNumberFormat="0" applyProtection="0">
      <alignment horizontal="left" vertical="center" indent="1" justifyLastLine="1"/>
    </xf>
    <xf numFmtId="4" fontId="3" fillId="0" borderId="2" applyNumberFormat="0" applyProtection="0">
      <alignment horizontal="right" vertical="center"/>
    </xf>
    <xf numFmtId="0" fontId="9" fillId="24" borderId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31" borderId="0" applyNumberFormat="0" applyBorder="0" applyAlignment="0" applyProtection="0"/>
    <xf numFmtId="0" fontId="15" fillId="37" borderId="0" applyNumberFormat="0" applyBorder="0" applyAlignment="0" applyProtection="0"/>
    <xf numFmtId="0" fontId="14" fillId="32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4" fillId="30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4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4" fontId="18" fillId="5" borderId="2" applyNumberFormat="0" applyProtection="0">
      <alignment vertical="center"/>
    </xf>
    <xf numFmtId="0" fontId="11" fillId="6" borderId="4" applyNumberFormat="0" applyProtection="0">
      <alignment horizontal="left" vertical="top" indent="1"/>
    </xf>
    <xf numFmtId="4" fontId="3" fillId="46" borderId="2" applyNumberFormat="0" applyProtection="0">
      <alignment horizontal="right" vertical="center"/>
    </xf>
    <xf numFmtId="4" fontId="3" fillId="47" borderId="2" applyNumberFormat="0" applyProtection="0">
      <alignment horizontal="right" vertical="center"/>
    </xf>
    <xf numFmtId="4" fontId="3" fillId="48" borderId="3" applyNumberFormat="0" applyProtection="0">
      <alignment horizontal="right" vertical="center"/>
    </xf>
    <xf numFmtId="4" fontId="3" fillId="27" borderId="2" applyNumberFormat="0" applyProtection="0">
      <alignment horizontal="right" vertical="center"/>
    </xf>
    <xf numFmtId="4" fontId="3" fillId="49" borderId="2" applyNumberFormat="0" applyProtection="0">
      <alignment horizontal="right" vertical="center"/>
    </xf>
    <xf numFmtId="4" fontId="3" fillId="50" borderId="2" applyNumberFormat="0" applyProtection="0">
      <alignment horizontal="right" vertical="center"/>
    </xf>
    <xf numFmtId="4" fontId="3" fillId="26" borderId="2" applyNumberFormat="0" applyProtection="0">
      <alignment horizontal="right" vertical="center"/>
    </xf>
    <xf numFmtId="4" fontId="3" fillId="25" borderId="2" applyNumberFormat="0" applyProtection="0">
      <alignment horizontal="right" vertical="center"/>
    </xf>
    <xf numFmtId="4" fontId="3" fillId="51" borderId="2" applyNumberFormat="0" applyProtection="0">
      <alignment horizontal="right" vertical="center"/>
    </xf>
    <xf numFmtId="4" fontId="3" fillId="52" borderId="3" applyNumberFormat="0" applyProtection="0">
      <alignment horizontal="left" vertical="center" indent="1" justifyLastLine="1"/>
    </xf>
    <xf numFmtId="4" fontId="4" fillId="2" borderId="3" applyNumberFormat="0" applyProtection="0">
      <alignment horizontal="left" vertical="center" indent="1" justifyLastLine="1"/>
    </xf>
    <xf numFmtId="4" fontId="3" fillId="10" borderId="3" applyNumberFormat="0" applyProtection="0">
      <alignment horizontal="left" vertical="center" indent="1" justifyLastLine="1"/>
    </xf>
    <xf numFmtId="4" fontId="3" fillId="4" borderId="3" applyNumberFormat="0" applyProtection="0">
      <alignment horizontal="left" vertical="center" indent="1" justifyLastLine="1"/>
    </xf>
    <xf numFmtId="0" fontId="3" fillId="2" borderId="4" applyNumberFormat="0" applyProtection="0">
      <alignment horizontal="left" vertical="top" indent="1"/>
    </xf>
    <xf numFmtId="0" fontId="3" fillId="4" borderId="4" applyNumberFormat="0" applyProtection="0">
      <alignment horizontal="left" vertical="top" indent="1"/>
    </xf>
    <xf numFmtId="0" fontId="3" fillId="9" borderId="4" applyNumberFormat="0" applyProtection="0">
      <alignment horizontal="left" vertical="top" indent="1"/>
    </xf>
    <xf numFmtId="0" fontId="3" fillId="10" borderId="4" applyNumberFormat="0" applyProtection="0">
      <alignment horizontal="left" vertical="top" indent="1"/>
    </xf>
    <xf numFmtId="0" fontId="3" fillId="53" borderId="5" applyNumberFormat="0">
      <protection locked="0"/>
    </xf>
    <xf numFmtId="4" fontId="10" fillId="54" borderId="4" applyNumberFormat="0" applyProtection="0">
      <alignment vertical="center"/>
    </xf>
    <xf numFmtId="4" fontId="19" fillId="0" borderId="6" applyNumberFormat="0" applyProtection="0">
      <alignment vertical="center"/>
    </xf>
    <xf numFmtId="4" fontId="10" fillId="7" borderId="4" applyNumberFormat="0" applyProtection="0">
      <alignment horizontal="left" vertical="center" indent="1"/>
    </xf>
    <xf numFmtId="0" fontId="10" fillId="54" borderId="4" applyNumberFormat="0" applyProtection="0">
      <alignment horizontal="left" vertical="top" indent="1"/>
    </xf>
    <xf numFmtId="4" fontId="18" fillId="55" borderId="2" applyNumberFormat="0" applyProtection="0">
      <alignment horizontal="right" vertical="center"/>
    </xf>
    <xf numFmtId="0" fontId="10" fillId="4" borderId="4" applyNumberFormat="0" applyProtection="0">
      <alignment horizontal="left" vertical="top" indent="1"/>
    </xf>
    <xf numFmtId="4" fontId="12" fillId="56" borderId="3" applyNumberFormat="0" applyProtection="0">
      <alignment horizontal="left" vertical="center" indent="1" justifyLastLine="1"/>
    </xf>
    <xf numFmtId="0" fontId="19" fillId="0" borderId="6"/>
    <xf numFmtId="4" fontId="13" fillId="53" borderId="2" applyNumberFormat="0" applyProtection="0">
      <alignment horizontal="right" vertical="center"/>
    </xf>
    <xf numFmtId="0" fontId="17" fillId="0" borderId="0" applyNumberFormat="0" applyFill="0" applyBorder="0" applyAlignment="0" applyProtection="0"/>
  </cellStyleXfs>
  <cellXfs count="198">
    <xf numFmtId="0" fontId="0" fillId="0" borderId="0" xfId="0"/>
    <xf numFmtId="0" fontId="3" fillId="3" borderId="2" xfId="2" quotePrefix="1" applyNumberFormat="1">
      <alignment horizontal="left" vertical="center" indent="1" justifyLastLine="1"/>
    </xf>
    <xf numFmtId="0" fontId="3" fillId="3" borderId="2" xfId="4" quotePrefix="1" applyNumberFormat="1" applyAlignment="1">
      <alignment horizontal="left" vertical="center" wrapText="1" indent="1" justifyLastLine="1"/>
    </xf>
    <xf numFmtId="0" fontId="5" fillId="3" borderId="2" xfId="4" quotePrefix="1" applyNumberFormat="1" applyFont="1" applyAlignment="1">
      <alignment horizontal="left" vertical="center" wrapText="1" indent="1" justifyLastLine="1"/>
    </xf>
    <xf numFmtId="0" fontId="3" fillId="4" borderId="2" xfId="5" quotePrefix="1" applyNumberFormat="1">
      <alignment horizontal="right" vertical="center"/>
    </xf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0" fillId="0" borderId="0" xfId="0" applyAlignment="1">
      <alignment wrapText="1"/>
    </xf>
    <xf numFmtId="164" fontId="2" fillId="11" borderId="2" xfId="8" quotePrefix="1" applyNumberFormat="1" applyFont="1" applyFill="1" applyAlignment="1">
      <alignment horizontal="left" vertical="center" wrapText="1" justifyLastLine="1"/>
    </xf>
    <xf numFmtId="0" fontId="2" fillId="11" borderId="2" xfId="8" quotePrefix="1" applyFont="1" applyFill="1" applyAlignment="1">
      <alignment horizontal="left" vertical="center" wrapText="1" justifyLastLine="1"/>
    </xf>
    <xf numFmtId="3" fontId="2" fillId="11" borderId="2" xfId="7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164" fontId="5" fillId="11" borderId="2" xfId="9" quotePrefix="1" applyNumberFormat="1" applyFont="1" applyFill="1" applyAlignment="1">
      <alignment horizontal="left" vertical="center" wrapText="1" justifyLastLine="1"/>
    </xf>
    <xf numFmtId="0" fontId="5" fillId="11" borderId="2" xfId="9" quotePrefix="1" applyFont="1" applyFill="1" applyAlignment="1">
      <alignment horizontal="left" vertical="center" wrapText="1" justifyLastLine="1"/>
    </xf>
    <xf numFmtId="3" fontId="5" fillId="11" borderId="2" xfId="7" applyNumberFormat="1" applyFont="1" applyFill="1" applyAlignment="1">
      <alignment vertical="center" wrapText="1"/>
    </xf>
    <xf numFmtId="164" fontId="5" fillId="14" borderId="2" xfId="10" quotePrefix="1" applyNumberFormat="1" applyFont="1" applyFill="1" applyAlignment="1">
      <alignment horizontal="left" vertical="center" wrapText="1" justifyLastLine="1"/>
    </xf>
    <xf numFmtId="0" fontId="5" fillId="14" borderId="2" xfId="10" quotePrefix="1" applyFont="1" applyFill="1" applyAlignment="1">
      <alignment horizontal="left" vertical="center" wrapText="1" justifyLastLine="1"/>
    </xf>
    <xf numFmtId="3" fontId="5" fillId="14" borderId="2" xfId="7" applyNumberFormat="1" applyFont="1" applyFill="1" applyAlignment="1">
      <alignment vertical="center" wrapText="1"/>
    </xf>
    <xf numFmtId="0" fontId="5" fillId="0" borderId="0" xfId="0" applyFont="1" applyAlignment="1">
      <alignment wrapText="1"/>
    </xf>
    <xf numFmtId="164" fontId="3" fillId="16" borderId="2" xfId="11" quotePrefix="1" applyNumberFormat="1" applyFill="1" applyAlignment="1">
      <alignment horizontal="left" vertical="center" wrapText="1" justifyLastLine="1"/>
    </xf>
    <xf numFmtId="0" fontId="3" fillId="16" borderId="2" xfId="11" quotePrefix="1" applyFill="1" applyAlignment="1">
      <alignment horizontal="left" vertical="center" wrapText="1" justifyLastLine="1"/>
    </xf>
    <xf numFmtId="3" fontId="3" fillId="16" borderId="2" xfId="7" applyNumberFormat="1" applyFill="1" applyAlignment="1">
      <alignment vertical="center" wrapText="1"/>
    </xf>
    <xf numFmtId="164" fontId="3" fillId="17" borderId="2" xfId="11" quotePrefix="1" applyNumberFormat="1" applyFont="1" applyFill="1" applyAlignment="1">
      <alignment horizontal="left" vertical="center" wrapText="1" justifyLastLine="1"/>
    </xf>
    <xf numFmtId="0" fontId="3" fillId="17" borderId="2" xfId="11" quotePrefix="1" applyFont="1" applyFill="1" applyAlignment="1">
      <alignment horizontal="left" vertical="center" wrapText="1" justifyLastLine="1"/>
    </xf>
    <xf numFmtId="3" fontId="3" fillId="6" borderId="2" xfId="7" applyNumberFormat="1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2" xfId="11" quotePrefix="1" applyFill="1" applyAlignment="1">
      <alignment horizontal="left" vertical="center" wrapText="1" justifyLastLine="1"/>
    </xf>
    <xf numFmtId="3" fontId="3" fillId="0" borderId="2" xfId="12" applyNumberFormat="1" applyAlignment="1">
      <alignment horizontal="right" vertical="center" wrapText="1"/>
    </xf>
    <xf numFmtId="4" fontId="3" fillId="0" borderId="2" xfId="12" applyNumberFormat="1" applyAlignment="1">
      <alignment horizontal="right" vertical="center" wrapText="1"/>
    </xf>
    <xf numFmtId="164" fontId="3" fillId="17" borderId="2" xfId="11" quotePrefix="1" applyNumberFormat="1" applyFill="1" applyAlignment="1">
      <alignment horizontal="left" vertical="center" wrapText="1" justifyLastLine="1"/>
    </xf>
    <xf numFmtId="0" fontId="3" fillId="17" borderId="2" xfId="11" quotePrefix="1" applyFill="1" applyAlignment="1">
      <alignment horizontal="left" vertical="center" wrapText="1" justifyLastLine="1"/>
    </xf>
    <xf numFmtId="3" fontId="3" fillId="17" borderId="2" xfId="7" applyNumberFormat="1" applyFill="1" applyAlignment="1">
      <alignment vertical="center" wrapText="1"/>
    </xf>
    <xf numFmtId="3" fontId="3" fillId="6" borderId="2" xfId="7" applyNumberFormat="1" applyAlignment="1">
      <alignment vertical="center" wrapText="1"/>
    </xf>
    <xf numFmtId="165" fontId="3" fillId="0" borderId="2" xfId="12" applyNumberFormat="1" applyAlignment="1">
      <alignment horizontal="right" vertical="center" wrapText="1"/>
    </xf>
    <xf numFmtId="164" fontId="5" fillId="9" borderId="2" xfId="10" quotePrefix="1" applyNumberFormat="1" applyFont="1" applyAlignment="1">
      <alignment horizontal="left" vertical="center" wrapText="1" justifyLastLine="1"/>
    </xf>
    <xf numFmtId="164" fontId="3" fillId="12" borderId="2" xfId="11" quotePrefix="1" applyNumberFormat="1" applyFill="1" applyAlignment="1">
      <alignment horizontal="left" vertical="center" wrapText="1" justifyLastLine="1"/>
    </xf>
    <xf numFmtId="0" fontId="3" fillId="12" borderId="2" xfId="11" quotePrefix="1" applyFill="1" applyAlignment="1">
      <alignment horizontal="left" vertical="center" wrapText="1" justifyLastLine="1"/>
    </xf>
    <xf numFmtId="3" fontId="3" fillId="12" borderId="2" xfId="7" applyNumberFormat="1" applyFill="1" applyAlignment="1">
      <alignment vertical="center" wrapText="1"/>
    </xf>
    <xf numFmtId="166" fontId="3" fillId="12" borderId="2" xfId="7" applyNumberFormat="1" applyFill="1" applyAlignment="1">
      <alignment vertical="center" wrapText="1"/>
    </xf>
    <xf numFmtId="166" fontId="3" fillId="6" borderId="2" xfId="7" applyNumberFormat="1" applyAlignment="1">
      <alignment vertical="center" wrapText="1"/>
    </xf>
    <xf numFmtId="166" fontId="3" fillId="0" borderId="2" xfId="12" applyNumberFormat="1" applyAlignment="1">
      <alignment horizontal="right" vertical="center" wrapText="1"/>
    </xf>
    <xf numFmtId="164" fontId="3" fillId="12" borderId="2" xfId="11" quotePrefix="1" applyNumberFormat="1" applyFont="1" applyFill="1" applyAlignment="1">
      <alignment horizontal="left" vertical="center" wrapText="1" justifyLastLine="1"/>
    </xf>
    <xf numFmtId="0" fontId="3" fillId="12" borderId="2" xfId="11" quotePrefix="1" applyFont="1" applyFill="1" applyAlignment="1">
      <alignment horizontal="left" vertical="center" wrapText="1" justifyLastLine="1"/>
    </xf>
    <xf numFmtId="3" fontId="3" fillId="12" borderId="2" xfId="7" applyNumberFormat="1" applyFont="1" applyFill="1" applyAlignment="1">
      <alignment vertical="center" wrapText="1"/>
    </xf>
    <xf numFmtId="0" fontId="3" fillId="0" borderId="2" xfId="11" quotePrefix="1" applyFont="1" applyFill="1" applyAlignment="1">
      <alignment horizontal="left" vertical="center" wrapText="1" justifyLastLine="1"/>
    </xf>
    <xf numFmtId="0" fontId="6" fillId="0" borderId="0" xfId="0" applyFont="1" applyAlignment="1">
      <alignment wrapText="1"/>
    </xf>
    <xf numFmtId="0" fontId="7" fillId="15" borderId="0" xfId="0" applyFont="1" applyFill="1" applyAlignment="1">
      <alignment wrapText="1"/>
    </xf>
    <xf numFmtId="0" fontId="5" fillId="15" borderId="0" xfId="0" applyFont="1" applyFill="1" applyAlignment="1">
      <alignment wrapText="1"/>
    </xf>
    <xf numFmtId="3" fontId="7" fillId="15" borderId="0" xfId="0" applyNumberFormat="1" applyFont="1" applyFill="1" applyAlignment="1">
      <alignment wrapText="1"/>
    </xf>
    <xf numFmtId="0" fontId="7" fillId="0" borderId="0" xfId="0" applyFont="1" applyAlignment="1">
      <alignment wrapText="1"/>
    </xf>
    <xf numFmtId="0" fontId="7" fillId="12" borderId="0" xfId="0" applyFont="1" applyFill="1" applyAlignment="1">
      <alignment wrapText="1"/>
    </xf>
    <xf numFmtId="0" fontId="5" fillId="12" borderId="0" xfId="0" applyFont="1" applyFill="1" applyAlignment="1">
      <alignment wrapText="1"/>
    </xf>
    <xf numFmtId="3" fontId="7" fillId="12" borderId="0" xfId="0" applyNumberFormat="1" applyFont="1" applyFill="1" applyAlignment="1">
      <alignment wrapText="1"/>
    </xf>
    <xf numFmtId="0" fontId="7" fillId="19" borderId="0" xfId="0" applyFont="1" applyFill="1" applyAlignment="1">
      <alignment wrapText="1"/>
    </xf>
    <xf numFmtId="3" fontId="7" fillId="19" borderId="0" xfId="0" applyNumberFormat="1" applyFont="1" applyFill="1" applyAlignment="1">
      <alignment wrapText="1"/>
    </xf>
    <xf numFmtId="0" fontId="5" fillId="13" borderId="2" xfId="4" quotePrefix="1" applyNumberFormat="1" applyFont="1" applyFill="1" applyAlignment="1">
      <alignment horizontal="left" vertical="center" wrapText="1" indent="1" justifyLastLine="1"/>
    </xf>
    <xf numFmtId="3" fontId="3" fillId="0" borderId="2" xfId="12" applyNumberFormat="1" applyFill="1" applyAlignment="1">
      <alignment horizontal="right" vertical="center" wrapText="1"/>
    </xf>
    <xf numFmtId="164" fontId="3" fillId="11" borderId="2" xfId="11" quotePrefix="1" applyNumberFormat="1" applyFill="1" applyAlignment="1">
      <alignment horizontal="left" vertical="center" wrapText="1" justifyLastLine="1"/>
    </xf>
    <xf numFmtId="0" fontId="3" fillId="11" borderId="2" xfId="11" quotePrefix="1" applyFill="1" applyAlignment="1">
      <alignment horizontal="left" vertical="center" wrapText="1" justifyLastLine="1"/>
    </xf>
    <xf numFmtId="3" fontId="3" fillId="11" borderId="2" xfId="7" applyNumberFormat="1" applyFill="1" applyAlignment="1">
      <alignment vertical="center" wrapText="1"/>
    </xf>
    <xf numFmtId="164" fontId="3" fillId="19" borderId="2" xfId="11" quotePrefix="1" applyNumberFormat="1" applyFill="1" applyAlignment="1">
      <alignment horizontal="left" vertical="center" wrapText="1" justifyLastLine="1"/>
    </xf>
    <xf numFmtId="0" fontId="3" fillId="19" borderId="2" xfId="11" quotePrefix="1" applyFill="1" applyAlignment="1">
      <alignment horizontal="left" vertical="center" wrapText="1" justifyLastLine="1"/>
    </xf>
    <xf numFmtId="3" fontId="3" fillId="19" borderId="2" xfId="7" applyNumberFormat="1" applyFill="1" applyAlignment="1">
      <alignment vertical="center" wrapText="1"/>
    </xf>
    <xf numFmtId="164" fontId="3" fillId="15" borderId="2" xfId="11" quotePrefix="1" applyNumberFormat="1" applyFill="1" applyAlignment="1">
      <alignment horizontal="left" vertical="center" wrapText="1" justifyLastLine="1"/>
    </xf>
    <xf numFmtId="0" fontId="3" fillId="15" borderId="2" xfId="11" quotePrefix="1" applyFill="1" applyAlignment="1">
      <alignment horizontal="left" vertical="center" wrapText="1" justifyLastLine="1"/>
    </xf>
    <xf numFmtId="3" fontId="3" fillId="15" borderId="2" xfId="7" applyNumberFormat="1" applyFill="1" applyAlignment="1">
      <alignment vertical="center" wrapText="1"/>
    </xf>
    <xf numFmtId="164" fontId="3" fillId="20" borderId="2" xfId="11" quotePrefix="1" applyNumberFormat="1" applyFill="1" applyAlignment="1">
      <alignment horizontal="left" vertical="center" wrapText="1" justifyLastLine="1"/>
    </xf>
    <xf numFmtId="0" fontId="3" fillId="20" borderId="2" xfId="11" quotePrefix="1" applyFill="1" applyAlignment="1">
      <alignment horizontal="left" vertical="center" wrapText="1" justifyLastLine="1"/>
    </xf>
    <xf numFmtId="3" fontId="3" fillId="20" borderId="2" xfId="7" applyNumberFormat="1" applyFill="1" applyAlignment="1">
      <alignment vertical="center" wrapText="1"/>
    </xf>
    <xf numFmtId="164" fontId="3" fillId="21" borderId="2" xfId="11" quotePrefix="1" applyNumberFormat="1" applyFill="1" applyAlignment="1">
      <alignment horizontal="left" vertical="center" wrapText="1" justifyLastLine="1"/>
    </xf>
    <xf numFmtId="0" fontId="3" fillId="21" borderId="2" xfId="11" quotePrefix="1" applyFill="1" applyAlignment="1">
      <alignment horizontal="left" vertical="center" wrapText="1" justifyLastLine="1"/>
    </xf>
    <xf numFmtId="3" fontId="3" fillId="21" borderId="2" xfId="7" applyNumberFormat="1" applyFill="1" applyAlignment="1">
      <alignment vertical="center" wrapText="1"/>
    </xf>
    <xf numFmtId="164" fontId="3" fillId="21" borderId="2" xfId="11" quotePrefix="1" applyNumberFormat="1" applyFont="1" applyFill="1" applyAlignment="1">
      <alignment horizontal="left" vertical="center" wrapText="1" justifyLastLine="1"/>
    </xf>
    <xf numFmtId="0" fontId="3" fillId="21" borderId="2" xfId="11" quotePrefix="1" applyFont="1" applyFill="1" applyAlignment="1">
      <alignment horizontal="left" vertical="center" wrapText="1" justifyLastLine="1"/>
    </xf>
    <xf numFmtId="3" fontId="3" fillId="21" borderId="2" xfId="7" applyNumberFormat="1" applyFont="1" applyFill="1" applyAlignment="1">
      <alignment vertical="center" wrapText="1"/>
    </xf>
    <xf numFmtId="3" fontId="3" fillId="17" borderId="2" xfId="7" applyNumberFormat="1" applyFont="1" applyFill="1" applyAlignment="1">
      <alignment vertical="center" wrapText="1"/>
    </xf>
    <xf numFmtId="164" fontId="3" fillId="22" borderId="2" xfId="11" quotePrefix="1" applyNumberFormat="1" applyFill="1" applyAlignment="1">
      <alignment horizontal="left" vertical="center" wrapText="1" justifyLastLine="1"/>
    </xf>
    <xf numFmtId="0" fontId="3" fillId="22" borderId="2" xfId="11" quotePrefix="1" applyFill="1" applyAlignment="1">
      <alignment horizontal="left" vertical="center" wrapText="1" justifyLastLine="1"/>
    </xf>
    <xf numFmtId="3" fontId="3" fillId="22" borderId="2" xfId="7" applyNumberFormat="1" applyFill="1" applyAlignment="1">
      <alignment vertical="center" wrapText="1"/>
    </xf>
    <xf numFmtId="164" fontId="3" fillId="13" borderId="2" xfId="11" quotePrefix="1" applyNumberFormat="1" applyFill="1" applyAlignment="1">
      <alignment horizontal="left" vertical="center" wrapText="1" justifyLastLine="1"/>
    </xf>
    <xf numFmtId="0" fontId="3" fillId="13" borderId="2" xfId="11" quotePrefix="1" applyFill="1" applyAlignment="1">
      <alignment horizontal="left" vertical="center" wrapText="1" justifyLastLine="1"/>
    </xf>
    <xf numFmtId="3" fontId="3" fillId="13" borderId="2" xfId="7" applyNumberFormat="1" applyFill="1" applyAlignment="1">
      <alignment vertical="center" wrapText="1"/>
    </xf>
    <xf numFmtId="164" fontId="3" fillId="23" borderId="2" xfId="11" quotePrefix="1" applyNumberFormat="1" applyFill="1" applyAlignment="1">
      <alignment horizontal="left" vertical="center" wrapText="1" justifyLastLine="1"/>
    </xf>
    <xf numFmtId="0" fontId="3" fillId="23" borderId="2" xfId="11" quotePrefix="1" applyFill="1" applyAlignment="1">
      <alignment horizontal="left" vertical="center" wrapText="1" justifyLastLine="1"/>
    </xf>
    <xf numFmtId="3" fontId="3" fillId="23" borderId="2" xfId="7" applyNumberFormat="1" applyFill="1" applyAlignment="1">
      <alignment vertical="center" wrapText="1"/>
    </xf>
    <xf numFmtId="4" fontId="3" fillId="0" borderId="2" xfId="12" applyNumberFormat="1" applyFill="1" applyAlignment="1">
      <alignment horizontal="right" vertical="center" wrapText="1"/>
    </xf>
    <xf numFmtId="0" fontId="0" fillId="0" borderId="0" xfId="0" applyFill="1" applyAlignment="1">
      <alignment wrapText="1"/>
    </xf>
    <xf numFmtId="166" fontId="3" fillId="0" borderId="2" xfId="12" applyNumberFormat="1" applyFill="1" applyAlignment="1">
      <alignment horizontal="right" vertical="center" wrapText="1"/>
    </xf>
    <xf numFmtId="164" fontId="2" fillId="11" borderId="2" xfId="10" quotePrefix="1" applyNumberFormat="1" applyFont="1" applyFill="1" applyAlignment="1">
      <alignment horizontal="left" vertical="center" wrapText="1" justifyLastLine="1"/>
    </xf>
    <xf numFmtId="0" fontId="2" fillId="11" borderId="2" xfId="10" quotePrefix="1" applyFont="1" applyFill="1" applyAlignment="1">
      <alignment horizontal="left" vertical="center" wrapText="1" justifyLastLine="1"/>
    </xf>
    <xf numFmtId="164" fontId="5" fillId="11" borderId="2" xfId="10" quotePrefix="1" applyNumberFormat="1" applyFont="1" applyFill="1" applyAlignment="1">
      <alignment horizontal="left" vertical="center" wrapText="1" justifyLastLine="1"/>
    </xf>
    <xf numFmtId="0" fontId="5" fillId="11" borderId="2" xfId="10" quotePrefix="1" applyFont="1" applyFill="1" applyAlignment="1">
      <alignment horizontal="left" vertical="center" wrapText="1" justifyLastLine="1"/>
    </xf>
    <xf numFmtId="0" fontId="7" fillId="11" borderId="2" xfId="0" applyFont="1" applyFill="1" applyBorder="1"/>
    <xf numFmtId="3" fontId="7" fillId="11" borderId="2" xfId="0" applyNumberFormat="1" applyFont="1" applyFill="1" applyBorder="1"/>
    <xf numFmtId="0" fontId="7" fillId="0" borderId="0" xfId="0" applyFont="1"/>
    <xf numFmtId="0" fontId="7" fillId="11" borderId="7" xfId="0" applyFont="1" applyFill="1" applyBorder="1"/>
    <xf numFmtId="3" fontId="7" fillId="11" borderId="7" xfId="0" applyNumberFormat="1" applyFont="1" applyFill="1" applyBorder="1"/>
    <xf numFmtId="0" fontId="20" fillId="11" borderId="8" xfId="10" quotePrefix="1" applyFont="1" applyFill="1" applyBorder="1" applyAlignment="1">
      <alignment horizontal="left" vertical="center" wrapText="1"/>
    </xf>
    <xf numFmtId="0" fontId="3" fillId="57" borderId="2" xfId="11" quotePrefix="1" applyFill="1" applyAlignment="1">
      <alignment horizontal="left" vertical="center" wrapText="1" justifyLastLine="1"/>
    </xf>
    <xf numFmtId="3" fontId="3" fillId="57" borderId="2" xfId="7" applyNumberFormat="1" applyFill="1" applyAlignment="1">
      <alignment vertical="center" wrapText="1"/>
    </xf>
    <xf numFmtId="0" fontId="5" fillId="11" borderId="8" xfId="10" quotePrefix="1" applyFont="1" applyFill="1" applyBorder="1" applyAlignment="1">
      <alignment horizontal="left" vertical="center" wrapText="1"/>
    </xf>
    <xf numFmtId="3" fontId="7" fillId="58" borderId="0" xfId="0" applyNumberFormat="1" applyFont="1" applyFill="1" applyAlignment="1">
      <alignment wrapText="1"/>
    </xf>
    <xf numFmtId="0" fontId="1" fillId="0" borderId="0" xfId="0" applyFont="1"/>
    <xf numFmtId="49" fontId="0" fillId="0" borderId="0" xfId="0" applyNumberFormat="1" applyAlignment="1">
      <alignment horizontal="center"/>
    </xf>
    <xf numFmtId="0" fontId="6" fillId="15" borderId="0" xfId="0" applyFont="1" applyFill="1"/>
    <xf numFmtId="3" fontId="6" fillId="15" borderId="0" xfId="0" applyNumberFormat="1" applyFont="1" applyFill="1"/>
    <xf numFmtId="0" fontId="6" fillId="59" borderId="0" xfId="0" applyFont="1" applyFill="1"/>
    <xf numFmtId="0" fontId="21" fillId="59" borderId="0" xfId="0" applyFont="1" applyFill="1"/>
    <xf numFmtId="3" fontId="6" fillId="59" borderId="0" xfId="0" applyNumberFormat="1" applyFont="1" applyFill="1"/>
    <xf numFmtId="0" fontId="6" fillId="60" borderId="0" xfId="0" applyFont="1" applyFill="1"/>
    <xf numFmtId="3" fontId="6" fillId="60" borderId="0" xfId="0" applyNumberFormat="1" applyFont="1" applyFill="1"/>
    <xf numFmtId="3" fontId="22" fillId="0" borderId="0" xfId="0" applyNumberFormat="1" applyFont="1"/>
    <xf numFmtId="3" fontId="7" fillId="60" borderId="0" xfId="0" applyNumberFormat="1" applyFont="1" applyFill="1"/>
    <xf numFmtId="3" fontId="3" fillId="15" borderId="2" xfId="12" applyNumberFormat="1" applyFill="1" applyAlignment="1">
      <alignment horizontal="right" vertical="center" wrapText="1"/>
    </xf>
    <xf numFmtId="4" fontId="0" fillId="0" borderId="0" xfId="0" applyNumberFormat="1"/>
    <xf numFmtId="4" fontId="1" fillId="15" borderId="0" xfId="0" applyNumberFormat="1" applyFont="1" applyFill="1"/>
    <xf numFmtId="3" fontId="0" fillId="15" borderId="0" xfId="0" applyNumberFormat="1" applyFill="1"/>
    <xf numFmtId="3" fontId="3" fillId="4" borderId="2" xfId="5" quotePrefix="1" applyNumberFormat="1">
      <alignment horizontal="right" vertical="center"/>
    </xf>
    <xf numFmtId="3" fontId="1" fillId="15" borderId="0" xfId="0" applyNumberFormat="1" applyFont="1" applyFill="1"/>
    <xf numFmtId="3" fontId="0" fillId="18" borderId="0" xfId="0" applyNumberFormat="1" applyFill="1"/>
    <xf numFmtId="3" fontId="3" fillId="0" borderId="2" xfId="12" applyNumberFormat="1" applyFont="1" applyFill="1" applyAlignment="1">
      <alignment horizontal="right" vertical="center" wrapText="1"/>
    </xf>
    <xf numFmtId="164" fontId="3" fillId="20" borderId="2" xfId="11" quotePrefix="1" applyNumberFormat="1" applyFill="1" applyAlignment="1">
      <alignment horizontal="right" vertical="center" wrapText="1" justifyLastLine="1"/>
    </xf>
    <xf numFmtId="0" fontId="3" fillId="20" borderId="2" xfId="11" quotePrefix="1" applyFill="1" applyAlignment="1">
      <alignment horizontal="right" vertical="center" wrapText="1" justifyLastLine="1"/>
    </xf>
    <xf numFmtId="3" fontId="3" fillId="20" borderId="2" xfId="11" quotePrefix="1" applyNumberFormat="1" applyFill="1" applyAlignment="1">
      <alignment horizontal="right" vertical="center" wrapText="1" justifyLastLine="1"/>
    </xf>
    <xf numFmtId="4" fontId="3" fillId="20" borderId="2" xfId="11" quotePrefix="1" applyNumberFormat="1" applyFill="1" applyAlignment="1">
      <alignment horizontal="right" vertical="center" wrapText="1" justifyLastLine="1"/>
    </xf>
    <xf numFmtId="4" fontId="5" fillId="0" borderId="0" xfId="0" applyNumberFormat="1" applyFont="1" applyAlignment="1">
      <alignment wrapText="1"/>
    </xf>
    <xf numFmtId="166" fontId="3" fillId="18" borderId="2" xfId="12" applyNumberFormat="1" applyFill="1" applyAlignment="1">
      <alignment horizontal="right" vertical="center" wrapText="1"/>
    </xf>
    <xf numFmtId="3" fontId="3" fillId="16" borderId="2" xfId="12" applyNumberFormat="1" applyFill="1" applyAlignment="1">
      <alignment horizontal="right" vertical="center" wrapText="1"/>
    </xf>
    <xf numFmtId="49" fontId="0" fillId="0" borderId="0" xfId="0" applyNumberFormat="1" applyAlignment="1">
      <alignment horizontal="right"/>
    </xf>
    <xf numFmtId="0" fontId="6" fillId="61" borderId="0" xfId="0" applyFont="1" applyFill="1"/>
    <xf numFmtId="0" fontId="0" fillId="61" borderId="0" xfId="0" applyFill="1"/>
    <xf numFmtId="3" fontId="3" fillId="57" borderId="2" xfId="12" applyNumberFormat="1" applyFill="1" applyAlignment="1">
      <alignment horizontal="right" vertical="center" wrapText="1"/>
    </xf>
    <xf numFmtId="3" fontId="3" fillId="62" borderId="2" xfId="12" applyNumberFormat="1" applyFill="1" applyAlignment="1">
      <alignment horizontal="right" vertical="center" wrapText="1"/>
    </xf>
    <xf numFmtId="3" fontId="3" fillId="62" borderId="2" xfId="7" applyNumberFormat="1" applyFill="1" applyAlignment="1">
      <alignment vertical="center" wrapText="1"/>
    </xf>
    <xf numFmtId="3" fontId="3" fillId="63" borderId="2" xfId="12" applyNumberFormat="1" applyFill="1" applyAlignment="1">
      <alignment horizontal="right" vertical="center" wrapText="1"/>
    </xf>
    <xf numFmtId="49" fontId="27" fillId="14" borderId="13" xfId="0" applyNumberFormat="1" applyFont="1" applyFill="1" applyBorder="1"/>
    <xf numFmtId="0" fontId="27" fillId="14" borderId="14" xfId="0" applyFont="1" applyFill="1" applyBorder="1"/>
    <xf numFmtId="3" fontId="24" fillId="14" borderId="14" xfId="0" applyNumberFormat="1" applyFont="1" applyFill="1" applyBorder="1"/>
    <xf numFmtId="3" fontId="24" fillId="14" borderId="15" xfId="0" applyNumberFormat="1" applyFont="1" applyFill="1" applyBorder="1"/>
    <xf numFmtId="49" fontId="27" fillId="21" borderId="13" xfId="0" applyNumberFormat="1" applyFont="1" applyFill="1" applyBorder="1"/>
    <xf numFmtId="0" fontId="27" fillId="21" borderId="14" xfId="0" applyFont="1" applyFill="1" applyBorder="1"/>
    <xf numFmtId="3" fontId="24" fillId="21" borderId="14" xfId="0" applyNumberFormat="1" applyFont="1" applyFill="1" applyBorder="1"/>
    <xf numFmtId="3" fontId="24" fillId="21" borderId="15" xfId="0" applyNumberFormat="1" applyFont="1" applyFill="1" applyBorder="1"/>
    <xf numFmtId="0" fontId="27" fillId="57" borderId="13" xfId="0" applyFont="1" applyFill="1" applyBorder="1"/>
    <xf numFmtId="0" fontId="27" fillId="57" borderId="14" xfId="0" applyFont="1" applyFill="1" applyBorder="1"/>
    <xf numFmtId="3" fontId="27" fillId="57" borderId="14" xfId="0" applyNumberFormat="1" applyFont="1" applyFill="1" applyBorder="1"/>
    <xf numFmtId="3" fontId="27" fillId="57" borderId="15" xfId="0" applyNumberFormat="1" applyFont="1" applyFill="1" applyBorder="1"/>
    <xf numFmtId="0" fontId="24" fillId="57" borderId="13" xfId="0" applyFont="1" applyFill="1" applyBorder="1"/>
    <xf numFmtId="0" fontId="24" fillId="57" borderId="14" xfId="0" applyFont="1" applyFill="1" applyBorder="1" applyAlignment="1">
      <alignment horizontal="right"/>
    </xf>
    <xf numFmtId="3" fontId="24" fillId="57" borderId="14" xfId="0" applyNumberFormat="1" applyFont="1" applyFill="1" applyBorder="1"/>
    <xf numFmtId="3" fontId="24" fillId="57" borderId="15" xfId="0" applyNumberFormat="1" applyFont="1" applyFill="1" applyBorder="1"/>
    <xf numFmtId="0" fontId="27" fillId="57" borderId="14" xfId="0" applyFont="1" applyFill="1" applyBorder="1" applyAlignment="1">
      <alignment horizontal="left"/>
    </xf>
    <xf numFmtId="0" fontId="27" fillId="57" borderId="15" xfId="0" applyFont="1" applyFill="1" applyBorder="1"/>
    <xf numFmtId="0" fontId="27" fillId="11" borderId="11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center" vertical="center" wrapText="1"/>
    </xf>
    <xf numFmtId="0" fontId="27" fillId="17" borderId="13" xfId="0" applyFont="1" applyFill="1" applyBorder="1"/>
    <xf numFmtId="0" fontId="27" fillId="17" borderId="14" xfId="0" applyFont="1" applyFill="1" applyBorder="1"/>
    <xf numFmtId="3" fontId="27" fillId="17" borderId="14" xfId="0" applyNumberFormat="1" applyFont="1" applyFill="1" applyBorder="1"/>
    <xf numFmtId="3" fontId="27" fillId="17" borderId="15" xfId="0" applyNumberFormat="1" applyFont="1" applyFill="1" applyBorder="1"/>
    <xf numFmtId="164" fontId="9" fillId="57" borderId="13" xfId="11" quotePrefix="1" applyNumberFormat="1" applyFont="1" applyFill="1" applyBorder="1" applyAlignment="1">
      <alignment horizontal="left" vertical="center" wrapText="1" justifyLastLine="1"/>
    </xf>
    <xf numFmtId="0" fontId="9" fillId="57" borderId="14" xfId="11" quotePrefix="1" applyFont="1" applyFill="1" applyBorder="1" applyAlignment="1">
      <alignment horizontal="left" vertical="center" wrapText="1" justifyLastLine="1"/>
    </xf>
    <xf numFmtId="0" fontId="24" fillId="57" borderId="14" xfId="0" applyFont="1" applyFill="1" applyBorder="1"/>
    <xf numFmtId="3" fontId="28" fillId="57" borderId="14" xfId="11" quotePrefix="1" applyNumberFormat="1" applyFont="1" applyFill="1" applyBorder="1" applyAlignment="1">
      <alignment horizontal="right" vertical="center" wrapText="1" justifyLastLine="1"/>
    </xf>
    <xf numFmtId="3" fontId="28" fillId="57" borderId="15" xfId="11" quotePrefix="1" applyNumberFormat="1" applyFont="1" applyFill="1" applyBorder="1" applyAlignment="1">
      <alignment horizontal="right" vertical="center" wrapText="1" justifyLastLine="1"/>
    </xf>
    <xf numFmtId="3" fontId="9" fillId="57" borderId="14" xfId="7" applyNumberFormat="1" applyFont="1" applyFill="1" applyBorder="1" applyAlignment="1">
      <alignment vertical="center" wrapText="1"/>
    </xf>
    <xf numFmtId="164" fontId="9" fillId="57" borderId="16" xfId="11" quotePrefix="1" applyNumberFormat="1" applyFont="1" applyFill="1" applyBorder="1" applyAlignment="1">
      <alignment horizontal="left" vertical="center" wrapText="1" justifyLastLine="1"/>
    </xf>
    <xf numFmtId="0" fontId="9" fillId="57" borderId="17" xfId="11" quotePrefix="1" applyFont="1" applyFill="1" applyBorder="1" applyAlignment="1">
      <alignment horizontal="left" vertical="center" wrapText="1" justifyLastLine="1"/>
    </xf>
    <xf numFmtId="0" fontId="24" fillId="57" borderId="17" xfId="0" applyFont="1" applyFill="1" applyBorder="1"/>
    <xf numFmtId="3" fontId="28" fillId="57" borderId="17" xfId="11" quotePrefix="1" applyNumberFormat="1" applyFont="1" applyFill="1" applyBorder="1" applyAlignment="1">
      <alignment horizontal="right" vertical="center" wrapText="1" justifyLastLine="1"/>
    </xf>
    <xf numFmtId="3" fontId="28" fillId="57" borderId="18" xfId="11" quotePrefix="1" applyNumberFormat="1" applyFont="1" applyFill="1" applyBorder="1" applyAlignment="1">
      <alignment horizontal="right" vertical="center" wrapText="1" justifyLastLine="1"/>
    </xf>
    <xf numFmtId="0" fontId="3" fillId="14" borderId="2" xfId="4" quotePrefix="1" applyNumberFormat="1" applyFill="1" applyAlignment="1">
      <alignment horizontal="left" vertical="center" wrapText="1" indent="1" justifyLastLine="1"/>
    </xf>
    <xf numFmtId="3" fontId="3" fillId="0" borderId="2" xfId="12" applyNumberFormat="1" applyFont="1" applyAlignment="1">
      <alignment horizontal="right" vertical="center" wrapText="1"/>
    </xf>
    <xf numFmtId="0" fontId="6" fillId="57" borderId="19" xfId="0" applyFont="1" applyFill="1" applyBorder="1" applyAlignment="1">
      <alignment wrapText="1"/>
    </xf>
    <xf numFmtId="0" fontId="5" fillId="57" borderId="19" xfId="0" applyFont="1" applyFill="1" applyBorder="1" applyAlignment="1">
      <alignment wrapText="1"/>
    </xf>
    <xf numFmtId="3" fontId="6" fillId="57" borderId="19" xfId="0" applyNumberFormat="1" applyFont="1" applyFill="1" applyBorder="1" applyAlignment="1">
      <alignment wrapText="1"/>
    </xf>
    <xf numFmtId="4" fontId="9" fillId="57" borderId="19" xfId="12" applyNumberFormat="1" applyFont="1" applyFill="1" applyBorder="1" applyAlignment="1">
      <alignment horizontal="right" vertical="center" wrapText="1"/>
    </xf>
    <xf numFmtId="0" fontId="7" fillId="57" borderId="19" xfId="0" applyFont="1" applyFill="1" applyBorder="1" applyAlignment="1">
      <alignment wrapText="1"/>
    </xf>
    <xf numFmtId="3" fontId="7" fillId="57" borderId="19" xfId="0" applyNumberFormat="1" applyFont="1" applyFill="1" applyBorder="1" applyAlignment="1">
      <alignment wrapText="1"/>
    </xf>
    <xf numFmtId="3" fontId="23" fillId="57" borderId="2" xfId="12" applyNumberFormat="1" applyFont="1" applyFill="1" applyAlignment="1">
      <alignment horizontal="right" vertical="center" wrapText="1"/>
    </xf>
    <xf numFmtId="3" fontId="3" fillId="57" borderId="2" xfId="12" applyNumberFormat="1" applyFont="1" applyFill="1" applyAlignment="1">
      <alignment horizontal="right" vertical="center" wrapText="1"/>
    </xf>
    <xf numFmtId="4" fontId="3" fillId="57" borderId="2" xfId="12" applyNumberFormat="1" applyFont="1" applyFill="1" applyAlignment="1">
      <alignment horizontal="right" vertical="center" wrapText="1"/>
    </xf>
    <xf numFmtId="3" fontId="5" fillId="14" borderId="2" xfId="4" quotePrefix="1" applyNumberFormat="1" applyFont="1" applyFill="1" applyAlignment="1">
      <alignment horizontal="center" vertical="center" wrapText="1" justifyLastLine="1"/>
    </xf>
    <xf numFmtId="0" fontId="5" fillId="14" borderId="2" xfId="4" quotePrefix="1" applyNumberFormat="1" applyFont="1" applyFill="1" applyAlignment="1">
      <alignment horizontal="center" vertical="center" wrapText="1" justifyLastLine="1"/>
    </xf>
    <xf numFmtId="0" fontId="25" fillId="0" borderId="0" xfId="0" applyFont="1" applyAlignment="1">
      <alignment horizontal="right"/>
    </xf>
    <xf numFmtId="0" fontId="5" fillId="14" borderId="2" xfId="2" quotePrefix="1" applyNumberFormat="1" applyFont="1" applyFill="1" applyAlignment="1">
      <alignment horizontal="center" vertical="center" justifyLastLine="1"/>
    </xf>
    <xf numFmtId="0" fontId="3" fillId="0" borderId="20" xfId="11" quotePrefix="1" applyFill="1" applyBorder="1" applyAlignment="1">
      <alignment horizontal="left" vertical="center" wrapText="1" justifyLastLine="1"/>
    </xf>
    <xf numFmtId="3" fontId="3" fillId="0" borderId="20" xfId="12" applyNumberFormat="1" applyBorder="1" applyAlignment="1">
      <alignment horizontal="right" vertical="center" wrapText="1"/>
    </xf>
    <xf numFmtId="4" fontId="3" fillId="0" borderId="20" xfId="12" applyNumberFormat="1" applyBorder="1" applyAlignment="1">
      <alignment horizontal="right" vertical="center" wrapText="1"/>
    </xf>
    <xf numFmtId="0" fontId="29" fillId="14" borderId="19" xfId="0" applyFont="1" applyFill="1" applyBorder="1" applyAlignment="1">
      <alignment horizontal="center" wrapText="1"/>
    </xf>
    <xf numFmtId="0" fontId="29" fillId="14" borderId="19" xfId="0" applyFont="1" applyFill="1" applyBorder="1" applyAlignment="1">
      <alignment wrapText="1"/>
    </xf>
    <xf numFmtId="3" fontId="29" fillId="14" borderId="19" xfId="0" applyNumberFormat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7" fillId="11" borderId="10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65">
    <cellStyle name="Accent1 - 20%" xfId="14"/>
    <cellStyle name="Accent1 - 40%" xfId="15"/>
    <cellStyle name="Accent1 - 60%" xfId="16"/>
    <cellStyle name="Accent2 - 20%" xfId="17"/>
    <cellStyle name="Accent2 - 40%" xfId="18"/>
    <cellStyle name="Accent2 - 60%" xfId="19"/>
    <cellStyle name="Accent3 - 20%" xfId="20"/>
    <cellStyle name="Accent3 - 40%" xfId="21"/>
    <cellStyle name="Accent3 - 60%" xfId="22"/>
    <cellStyle name="Accent4 - 20%" xfId="23"/>
    <cellStyle name="Accent4 - 40%" xfId="24"/>
    <cellStyle name="Accent4 - 60%" xfId="25"/>
    <cellStyle name="Accent5 - 20%" xfId="26"/>
    <cellStyle name="Accent5 - 40%" xfId="27"/>
    <cellStyle name="Accent5 - 60%" xfId="28"/>
    <cellStyle name="Accent6 - 20%" xfId="29"/>
    <cellStyle name="Accent6 - 40%" xfId="30"/>
    <cellStyle name="Accent6 - 60%" xfId="31"/>
    <cellStyle name="Emphasis 1" xfId="32"/>
    <cellStyle name="Emphasis 2" xfId="33"/>
    <cellStyle name="Emphasis 3" xfId="34"/>
    <cellStyle name="Normalno" xfId="0" builtinId="0"/>
    <cellStyle name="Normalno 2" xfId="13"/>
    <cellStyle name="SAPBEXaggData" xfId="7"/>
    <cellStyle name="SAPBEXaggDataEmph" xfId="35"/>
    <cellStyle name="SAPBEXaggItem" xfId="6"/>
    <cellStyle name="SAPBEXaggItemX" xfId="36"/>
    <cellStyle name="SAPBEXchaText" xfId="2"/>
    <cellStyle name="SAPBEXexcBad7" xfId="37"/>
    <cellStyle name="SAPBEXexcBad8" xfId="38"/>
    <cellStyle name="SAPBEXexcBad9" xfId="39"/>
    <cellStyle name="SAPBEXexcCritical4" xfId="40"/>
    <cellStyle name="SAPBEXexcCritical5" xfId="41"/>
    <cellStyle name="SAPBEXexcCritical6" xfId="42"/>
    <cellStyle name="SAPBEXexcGood1" xfId="43"/>
    <cellStyle name="SAPBEXexcGood2" xfId="44"/>
    <cellStyle name="SAPBEXexcGood3" xfId="45"/>
    <cellStyle name="SAPBEXfilterDrill" xfId="46"/>
    <cellStyle name="SAPBEXfilterItem" xfId="3"/>
    <cellStyle name="SAPBEXfilterText" xfId="47"/>
    <cellStyle name="SAPBEXformats" xfId="5"/>
    <cellStyle name="SAPBEXheaderItem" xfId="48"/>
    <cellStyle name="SAPBEXheaderText" xfId="49"/>
    <cellStyle name="SAPBEXHLevel0" xfId="8"/>
    <cellStyle name="SAPBEXHLevel0X" xfId="50"/>
    <cellStyle name="SAPBEXHLevel1" xfId="9"/>
    <cellStyle name="SAPBEXHLevel1X" xfId="51"/>
    <cellStyle name="SAPBEXHLevel2" xfId="10"/>
    <cellStyle name="SAPBEXHLevel2X" xfId="52"/>
    <cellStyle name="SAPBEXHLevel3" xfId="11"/>
    <cellStyle name="SAPBEXHLevel3X" xfId="53"/>
    <cellStyle name="SAPBEXinputData" xfId="54"/>
    <cellStyle name="SAPBEXItemHeader" xfId="1"/>
    <cellStyle name="SAPBEXresData" xfId="55"/>
    <cellStyle name="SAPBEXresDataEmph" xfId="56"/>
    <cellStyle name="SAPBEXresItem" xfId="57"/>
    <cellStyle name="SAPBEXresItemX" xfId="58"/>
    <cellStyle name="SAPBEXstdData" xfId="12"/>
    <cellStyle name="SAPBEXstdDataEmph" xfId="59"/>
    <cellStyle name="SAPBEXstdItem" xfId="4"/>
    <cellStyle name="SAPBEXstdItemX" xfId="60"/>
    <cellStyle name="SAPBEXtitle" xfId="61"/>
    <cellStyle name="SAPBEXunassignedItem" xfId="62"/>
    <cellStyle name="SAPBEXundefined" xfId="63"/>
    <cellStyle name="Sheet Title" xfId="6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19050</xdr:rowOff>
    </xdr:from>
    <xdr:to>
      <xdr:col>7</xdr:col>
      <xdr:colOff>57150</xdr:colOff>
      <xdr:row>4</xdr:row>
      <xdr:rowOff>66675</xdr:rowOff>
    </xdr:to>
    <xdr:pic macro="[1]!DesignIconClicked">
      <xdr:nvPicPr>
        <xdr:cNvPr id="4" name="BExMK6O277Q67BOISS2T3HC06BL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4</xdr:row>
      <xdr:rowOff>104775</xdr:rowOff>
    </xdr:from>
    <xdr:to>
      <xdr:col>7</xdr:col>
      <xdr:colOff>57150</xdr:colOff>
      <xdr:row>4</xdr:row>
      <xdr:rowOff>152400</xdr:rowOff>
    </xdr:to>
    <xdr:pic macro="[1]!DesignIconClicked">
      <xdr:nvPicPr>
        <xdr:cNvPr id="5" name="BExS483SLRIXGMG1SU7GI0PYJT8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4478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4</xdr:row>
      <xdr:rowOff>19050</xdr:rowOff>
    </xdr:from>
    <xdr:to>
      <xdr:col>7</xdr:col>
      <xdr:colOff>47625</xdr:colOff>
      <xdr:row>4</xdr:row>
      <xdr:rowOff>66675</xdr:rowOff>
    </xdr:to>
    <xdr:pic macro="[1]!DesignIconClicked">
      <xdr:nvPicPr>
        <xdr:cNvPr id="6" name="BEx1MMVEOWH5J2E2AZOZC1Z0STI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1362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4</xdr:row>
      <xdr:rowOff>104775</xdr:rowOff>
    </xdr:from>
    <xdr:to>
      <xdr:col>7</xdr:col>
      <xdr:colOff>47625</xdr:colOff>
      <xdr:row>4</xdr:row>
      <xdr:rowOff>152400</xdr:rowOff>
    </xdr:to>
    <xdr:pic macro="[1]!DesignIconClicked">
      <xdr:nvPicPr>
        <xdr:cNvPr id="7" name="BExY508HFXIERN931LNTJFOHEE4Q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1447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</xdr:row>
      <xdr:rowOff>19050</xdr:rowOff>
    </xdr:from>
    <xdr:to>
      <xdr:col>7</xdr:col>
      <xdr:colOff>47625</xdr:colOff>
      <xdr:row>4</xdr:row>
      <xdr:rowOff>66675</xdr:rowOff>
    </xdr:to>
    <xdr:pic macro="[1]!DesignIconClicked">
      <xdr:nvPicPr>
        <xdr:cNvPr id="8" name="BExKTNE04I0IUO8WQCX05O9WPSH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362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4</xdr:row>
      <xdr:rowOff>104775</xdr:rowOff>
    </xdr:from>
    <xdr:to>
      <xdr:col>7</xdr:col>
      <xdr:colOff>47625</xdr:colOff>
      <xdr:row>4</xdr:row>
      <xdr:rowOff>152400</xdr:rowOff>
    </xdr:to>
    <xdr:pic macro="[1]!DesignIconClicked">
      <xdr:nvPicPr>
        <xdr:cNvPr id="9" name="BExZJJY4A80VFLVK6KFSTG5CL2K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447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4</xdr:row>
      <xdr:rowOff>19050</xdr:rowOff>
    </xdr:from>
    <xdr:to>
      <xdr:col>7</xdr:col>
      <xdr:colOff>57150</xdr:colOff>
      <xdr:row>4</xdr:row>
      <xdr:rowOff>66675</xdr:rowOff>
    </xdr:to>
    <xdr:pic macro="[1]!DesignIconClicked">
      <xdr:nvPicPr>
        <xdr:cNvPr id="10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4</xdr:row>
      <xdr:rowOff>104775</xdr:rowOff>
    </xdr:from>
    <xdr:to>
      <xdr:col>7</xdr:col>
      <xdr:colOff>57150</xdr:colOff>
      <xdr:row>4</xdr:row>
      <xdr:rowOff>152400</xdr:rowOff>
    </xdr:to>
    <xdr:pic macro="[1]!DesignIconClicked">
      <xdr:nvPicPr>
        <xdr:cNvPr id="11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4478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4</xdr:row>
      <xdr:rowOff>19050</xdr:rowOff>
    </xdr:from>
    <xdr:to>
      <xdr:col>7</xdr:col>
      <xdr:colOff>47625</xdr:colOff>
      <xdr:row>4</xdr:row>
      <xdr:rowOff>66675</xdr:rowOff>
    </xdr:to>
    <xdr:pic macro="[1]!DesignIconClicked">
      <xdr:nvPicPr>
        <xdr:cNvPr id="12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362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4</xdr:row>
      <xdr:rowOff>104775</xdr:rowOff>
    </xdr:from>
    <xdr:to>
      <xdr:col>7</xdr:col>
      <xdr:colOff>47625</xdr:colOff>
      <xdr:row>4</xdr:row>
      <xdr:rowOff>152400</xdr:rowOff>
    </xdr:to>
    <xdr:pic macro="[1]!DesignIconClicked">
      <xdr:nvPicPr>
        <xdr:cNvPr id="13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447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4</xdr:row>
      <xdr:rowOff>19050</xdr:rowOff>
    </xdr:from>
    <xdr:to>
      <xdr:col>7</xdr:col>
      <xdr:colOff>85725</xdr:colOff>
      <xdr:row>4</xdr:row>
      <xdr:rowOff>66675</xdr:rowOff>
    </xdr:to>
    <xdr:pic macro="[1]!DesignIconClicked">
      <xdr:nvPicPr>
        <xdr:cNvPr id="14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4</xdr:row>
      <xdr:rowOff>104775</xdr:rowOff>
    </xdr:from>
    <xdr:to>
      <xdr:col>7</xdr:col>
      <xdr:colOff>85725</xdr:colOff>
      <xdr:row>4</xdr:row>
      <xdr:rowOff>152400</xdr:rowOff>
    </xdr:to>
    <xdr:pic macro="[1]!DesignIconClicked">
      <xdr:nvPicPr>
        <xdr:cNvPr id="15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4478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4</xdr:row>
      <xdr:rowOff>19050</xdr:rowOff>
    </xdr:from>
    <xdr:to>
      <xdr:col>9</xdr:col>
      <xdr:colOff>76200</xdr:colOff>
      <xdr:row>4</xdr:row>
      <xdr:rowOff>66675</xdr:rowOff>
    </xdr:to>
    <xdr:pic macro="[1]!DesignIconClicked">
      <xdr:nvPicPr>
        <xdr:cNvPr id="16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62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4</xdr:row>
      <xdr:rowOff>104775</xdr:rowOff>
    </xdr:from>
    <xdr:to>
      <xdr:col>9</xdr:col>
      <xdr:colOff>76200</xdr:colOff>
      <xdr:row>4</xdr:row>
      <xdr:rowOff>152400</xdr:rowOff>
    </xdr:to>
    <xdr:pic macro="[1]!DesignIconClicked">
      <xdr:nvPicPr>
        <xdr:cNvPr id="17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447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4</xdr:row>
      <xdr:rowOff>19050</xdr:rowOff>
    </xdr:from>
    <xdr:to>
      <xdr:col>10</xdr:col>
      <xdr:colOff>76200</xdr:colOff>
      <xdr:row>4</xdr:row>
      <xdr:rowOff>66675</xdr:rowOff>
    </xdr:to>
    <xdr:pic macro="[1]!DesignIconClicked">
      <xdr:nvPicPr>
        <xdr:cNvPr id="18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362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4</xdr:row>
      <xdr:rowOff>104775</xdr:rowOff>
    </xdr:from>
    <xdr:to>
      <xdr:col>10</xdr:col>
      <xdr:colOff>76200</xdr:colOff>
      <xdr:row>4</xdr:row>
      <xdr:rowOff>152400</xdr:rowOff>
    </xdr:to>
    <xdr:pic macro="[1]!DesignIconClicked">
      <xdr:nvPicPr>
        <xdr:cNvPr id="19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447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4</xdr:row>
      <xdr:rowOff>19050</xdr:rowOff>
    </xdr:from>
    <xdr:to>
      <xdr:col>9</xdr:col>
      <xdr:colOff>85725</xdr:colOff>
      <xdr:row>4</xdr:row>
      <xdr:rowOff>66675</xdr:rowOff>
    </xdr:to>
    <xdr:pic macro="[1]!DesignIconClicked">
      <xdr:nvPicPr>
        <xdr:cNvPr id="20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4</xdr:row>
      <xdr:rowOff>104775</xdr:rowOff>
    </xdr:from>
    <xdr:to>
      <xdr:col>9</xdr:col>
      <xdr:colOff>85725</xdr:colOff>
      <xdr:row>4</xdr:row>
      <xdr:rowOff>152400</xdr:rowOff>
    </xdr:to>
    <xdr:pic macro="[1]!DesignIconClicked">
      <xdr:nvPicPr>
        <xdr:cNvPr id="21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4478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4</xdr:row>
      <xdr:rowOff>19050</xdr:rowOff>
    </xdr:from>
    <xdr:to>
      <xdr:col>10</xdr:col>
      <xdr:colOff>76200</xdr:colOff>
      <xdr:row>4</xdr:row>
      <xdr:rowOff>66675</xdr:rowOff>
    </xdr:to>
    <xdr:pic macro="[1]!DesignIconClicked">
      <xdr:nvPicPr>
        <xdr:cNvPr id="22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362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4</xdr:row>
      <xdr:rowOff>104775</xdr:rowOff>
    </xdr:from>
    <xdr:to>
      <xdr:col>10</xdr:col>
      <xdr:colOff>76200</xdr:colOff>
      <xdr:row>4</xdr:row>
      <xdr:rowOff>152400</xdr:rowOff>
    </xdr:to>
    <xdr:pic macro="[1]!DesignIconClicked">
      <xdr:nvPicPr>
        <xdr:cNvPr id="23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447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4</xdr:row>
      <xdr:rowOff>19050</xdr:rowOff>
    </xdr:from>
    <xdr:to>
      <xdr:col>10</xdr:col>
      <xdr:colOff>85725</xdr:colOff>
      <xdr:row>4</xdr:row>
      <xdr:rowOff>66675</xdr:rowOff>
    </xdr:to>
    <xdr:pic macro="[1]!DesignIconClicked">
      <xdr:nvPicPr>
        <xdr:cNvPr id="24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4</xdr:row>
      <xdr:rowOff>104775</xdr:rowOff>
    </xdr:from>
    <xdr:to>
      <xdr:col>10</xdr:col>
      <xdr:colOff>85725</xdr:colOff>
      <xdr:row>4</xdr:row>
      <xdr:rowOff>152400</xdr:rowOff>
    </xdr:to>
    <xdr:pic macro="[1]!DesignIconClicked">
      <xdr:nvPicPr>
        <xdr:cNvPr id="25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4478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4</xdr:row>
      <xdr:rowOff>19050</xdr:rowOff>
    </xdr:from>
    <xdr:ext cx="47625" cy="47625"/>
    <xdr:pic macro="[1]!DesignIconClicked">
      <xdr:nvPicPr>
        <xdr:cNvPr id="26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8</xdr:col>
      <xdr:colOff>28575</xdr:colOff>
      <xdr:row>4</xdr:row>
      <xdr:rowOff>104775</xdr:rowOff>
    </xdr:from>
    <xdr:ext cx="47625" cy="47625"/>
    <xdr:pic macro="[1]!DesignIconClicked">
      <xdr:nvPicPr>
        <xdr:cNvPr id="27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28575</xdr:colOff>
      <xdr:row>4</xdr:row>
      <xdr:rowOff>19050</xdr:rowOff>
    </xdr:from>
    <xdr:ext cx="47625" cy="47625"/>
    <xdr:pic macro="[1]!DesignIconClicked">
      <xdr:nvPicPr>
        <xdr:cNvPr id="28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8</xdr:col>
      <xdr:colOff>28575</xdr:colOff>
      <xdr:row>4</xdr:row>
      <xdr:rowOff>104775</xdr:rowOff>
    </xdr:from>
    <xdr:ext cx="47625" cy="47625"/>
    <xdr:pic macro="[1]!DesignIconClicked">
      <xdr:nvPicPr>
        <xdr:cNvPr id="29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28575</xdr:colOff>
      <xdr:row>4</xdr:row>
      <xdr:rowOff>19050</xdr:rowOff>
    </xdr:from>
    <xdr:ext cx="57150" cy="47625"/>
    <xdr:pic macro="[1]!DesignIconClicked">
      <xdr:nvPicPr>
        <xdr:cNvPr id="30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6381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8</xdr:col>
      <xdr:colOff>28575</xdr:colOff>
      <xdr:row>4</xdr:row>
      <xdr:rowOff>104775</xdr:rowOff>
    </xdr:from>
    <xdr:ext cx="57150" cy="47625"/>
    <xdr:pic macro="[1]!DesignIconClicked">
      <xdr:nvPicPr>
        <xdr:cNvPr id="31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19050</xdr:rowOff>
    </xdr:from>
    <xdr:to>
      <xdr:col>7</xdr:col>
      <xdr:colOff>57150</xdr:colOff>
      <xdr:row>3</xdr:row>
      <xdr:rowOff>66675</xdr:rowOff>
    </xdr:to>
    <xdr:pic macro="[1]!DesignIconClicked">
      <xdr:nvPicPr>
        <xdr:cNvPr id="2" name="BExMK6O277Q67BOISS2T3HC06BL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6381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3</xdr:row>
      <xdr:rowOff>104775</xdr:rowOff>
    </xdr:from>
    <xdr:to>
      <xdr:col>7</xdr:col>
      <xdr:colOff>57150</xdr:colOff>
      <xdr:row>3</xdr:row>
      <xdr:rowOff>152400</xdr:rowOff>
    </xdr:to>
    <xdr:pic macro="[1]!DesignIconClicked">
      <xdr:nvPicPr>
        <xdr:cNvPr id="3" name="BExS483SLRIXGMG1SU7GI0PYJT8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3</xdr:row>
      <xdr:rowOff>19050</xdr:rowOff>
    </xdr:from>
    <xdr:to>
      <xdr:col>7</xdr:col>
      <xdr:colOff>47625</xdr:colOff>
      <xdr:row>3</xdr:row>
      <xdr:rowOff>66675</xdr:rowOff>
    </xdr:to>
    <xdr:pic macro="[1]!DesignIconClicked">
      <xdr:nvPicPr>
        <xdr:cNvPr id="4" name="BEx1MMVEOWH5J2E2AZOZC1Z0STI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3</xdr:row>
      <xdr:rowOff>104775</xdr:rowOff>
    </xdr:from>
    <xdr:to>
      <xdr:col>7</xdr:col>
      <xdr:colOff>47625</xdr:colOff>
      <xdr:row>3</xdr:row>
      <xdr:rowOff>152400</xdr:rowOff>
    </xdr:to>
    <xdr:pic macro="[1]!DesignIconClicked">
      <xdr:nvPicPr>
        <xdr:cNvPr id="5" name="BExY508HFXIERN931LNTJFOHEE4Q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</xdr:row>
      <xdr:rowOff>19050</xdr:rowOff>
    </xdr:from>
    <xdr:to>
      <xdr:col>7</xdr:col>
      <xdr:colOff>47625</xdr:colOff>
      <xdr:row>3</xdr:row>
      <xdr:rowOff>66675</xdr:rowOff>
    </xdr:to>
    <xdr:pic macro="[1]!DesignIconClicked">
      <xdr:nvPicPr>
        <xdr:cNvPr id="6" name="BExKTNE04I0IUO8WQCX05O9WPSH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3</xdr:row>
      <xdr:rowOff>104775</xdr:rowOff>
    </xdr:from>
    <xdr:to>
      <xdr:col>7</xdr:col>
      <xdr:colOff>47625</xdr:colOff>
      <xdr:row>3</xdr:row>
      <xdr:rowOff>152400</xdr:rowOff>
    </xdr:to>
    <xdr:pic macro="[1]!DesignIconClicked">
      <xdr:nvPicPr>
        <xdr:cNvPr id="7" name="BExZJJY4A80VFLVK6KFSTG5CL2K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3</xdr:row>
      <xdr:rowOff>19050</xdr:rowOff>
    </xdr:from>
    <xdr:to>
      <xdr:col>7</xdr:col>
      <xdr:colOff>57150</xdr:colOff>
      <xdr:row>3</xdr:row>
      <xdr:rowOff>66675</xdr:rowOff>
    </xdr:to>
    <xdr:pic macro="[1]!DesignIconClicked">
      <xdr:nvPicPr>
        <xdr:cNvPr id="8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6381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3</xdr:row>
      <xdr:rowOff>104775</xdr:rowOff>
    </xdr:from>
    <xdr:to>
      <xdr:col>7</xdr:col>
      <xdr:colOff>57150</xdr:colOff>
      <xdr:row>3</xdr:row>
      <xdr:rowOff>152400</xdr:rowOff>
    </xdr:to>
    <xdr:pic macro="[1]!DesignIconClicked">
      <xdr:nvPicPr>
        <xdr:cNvPr id="9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3</xdr:row>
      <xdr:rowOff>19050</xdr:rowOff>
    </xdr:from>
    <xdr:to>
      <xdr:col>7</xdr:col>
      <xdr:colOff>47625</xdr:colOff>
      <xdr:row>3</xdr:row>
      <xdr:rowOff>66675</xdr:rowOff>
    </xdr:to>
    <xdr:pic macro="[1]!DesignIconClicked">
      <xdr:nvPicPr>
        <xdr:cNvPr id="10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3</xdr:row>
      <xdr:rowOff>104775</xdr:rowOff>
    </xdr:from>
    <xdr:to>
      <xdr:col>7</xdr:col>
      <xdr:colOff>47625</xdr:colOff>
      <xdr:row>3</xdr:row>
      <xdr:rowOff>152400</xdr:rowOff>
    </xdr:to>
    <xdr:pic macro="[1]!DesignIconClicked">
      <xdr:nvPicPr>
        <xdr:cNvPr id="11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3</xdr:row>
      <xdr:rowOff>19050</xdr:rowOff>
    </xdr:from>
    <xdr:to>
      <xdr:col>7</xdr:col>
      <xdr:colOff>85725</xdr:colOff>
      <xdr:row>3</xdr:row>
      <xdr:rowOff>66675</xdr:rowOff>
    </xdr:to>
    <xdr:pic macro="[1]!DesignIconClicked">
      <xdr:nvPicPr>
        <xdr:cNvPr id="12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6381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3</xdr:row>
      <xdr:rowOff>104775</xdr:rowOff>
    </xdr:from>
    <xdr:to>
      <xdr:col>7</xdr:col>
      <xdr:colOff>85725</xdr:colOff>
      <xdr:row>3</xdr:row>
      <xdr:rowOff>152400</xdr:rowOff>
    </xdr:to>
    <xdr:pic macro="[1]!DesignIconClicked">
      <xdr:nvPicPr>
        <xdr:cNvPr id="13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3</xdr:row>
      <xdr:rowOff>19050</xdr:rowOff>
    </xdr:from>
    <xdr:to>
      <xdr:col>9</xdr:col>
      <xdr:colOff>76200</xdr:colOff>
      <xdr:row>3</xdr:row>
      <xdr:rowOff>66675</xdr:rowOff>
    </xdr:to>
    <xdr:pic macro="[1]!DesignIconClicked">
      <xdr:nvPicPr>
        <xdr:cNvPr id="14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3</xdr:row>
      <xdr:rowOff>104775</xdr:rowOff>
    </xdr:from>
    <xdr:to>
      <xdr:col>9</xdr:col>
      <xdr:colOff>76200</xdr:colOff>
      <xdr:row>3</xdr:row>
      <xdr:rowOff>152400</xdr:rowOff>
    </xdr:to>
    <xdr:pic macro="[1]!DesignIconClicked">
      <xdr:nvPicPr>
        <xdr:cNvPr id="15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</xdr:row>
      <xdr:rowOff>19050</xdr:rowOff>
    </xdr:from>
    <xdr:to>
      <xdr:col>10</xdr:col>
      <xdr:colOff>76200</xdr:colOff>
      <xdr:row>3</xdr:row>
      <xdr:rowOff>66675</xdr:rowOff>
    </xdr:to>
    <xdr:pic macro="[1]!DesignIconClicked">
      <xdr:nvPicPr>
        <xdr:cNvPr id="16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3</xdr:row>
      <xdr:rowOff>104775</xdr:rowOff>
    </xdr:from>
    <xdr:to>
      <xdr:col>10</xdr:col>
      <xdr:colOff>76200</xdr:colOff>
      <xdr:row>3</xdr:row>
      <xdr:rowOff>152400</xdr:rowOff>
    </xdr:to>
    <xdr:pic macro="[1]!DesignIconClicked">
      <xdr:nvPicPr>
        <xdr:cNvPr id="17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3</xdr:row>
      <xdr:rowOff>19050</xdr:rowOff>
    </xdr:from>
    <xdr:to>
      <xdr:col>9</xdr:col>
      <xdr:colOff>85725</xdr:colOff>
      <xdr:row>3</xdr:row>
      <xdr:rowOff>66675</xdr:rowOff>
    </xdr:to>
    <xdr:pic macro="[1]!DesignIconClicked">
      <xdr:nvPicPr>
        <xdr:cNvPr id="18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6381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3</xdr:row>
      <xdr:rowOff>104775</xdr:rowOff>
    </xdr:from>
    <xdr:to>
      <xdr:col>9</xdr:col>
      <xdr:colOff>85725</xdr:colOff>
      <xdr:row>3</xdr:row>
      <xdr:rowOff>152400</xdr:rowOff>
    </xdr:to>
    <xdr:pic macro="[1]!DesignIconClicked">
      <xdr:nvPicPr>
        <xdr:cNvPr id="19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</xdr:row>
      <xdr:rowOff>19050</xdr:rowOff>
    </xdr:from>
    <xdr:to>
      <xdr:col>10</xdr:col>
      <xdr:colOff>76200</xdr:colOff>
      <xdr:row>3</xdr:row>
      <xdr:rowOff>66675</xdr:rowOff>
    </xdr:to>
    <xdr:pic macro="[1]!DesignIconClicked">
      <xdr:nvPicPr>
        <xdr:cNvPr id="20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3</xdr:row>
      <xdr:rowOff>104775</xdr:rowOff>
    </xdr:from>
    <xdr:to>
      <xdr:col>10</xdr:col>
      <xdr:colOff>76200</xdr:colOff>
      <xdr:row>3</xdr:row>
      <xdr:rowOff>152400</xdr:rowOff>
    </xdr:to>
    <xdr:pic macro="[1]!DesignIconClicked">
      <xdr:nvPicPr>
        <xdr:cNvPr id="21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</xdr:row>
      <xdr:rowOff>19050</xdr:rowOff>
    </xdr:from>
    <xdr:to>
      <xdr:col>10</xdr:col>
      <xdr:colOff>85725</xdr:colOff>
      <xdr:row>3</xdr:row>
      <xdr:rowOff>66675</xdr:rowOff>
    </xdr:to>
    <xdr:pic macro="[1]!DesignIconClicked">
      <xdr:nvPicPr>
        <xdr:cNvPr id="22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6381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3</xdr:row>
      <xdr:rowOff>104775</xdr:rowOff>
    </xdr:from>
    <xdr:to>
      <xdr:col>10</xdr:col>
      <xdr:colOff>85725</xdr:colOff>
      <xdr:row>3</xdr:row>
      <xdr:rowOff>152400</xdr:rowOff>
    </xdr:to>
    <xdr:pic macro="[1]!DesignIconClicked">
      <xdr:nvPicPr>
        <xdr:cNvPr id="23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3</xdr:row>
      <xdr:rowOff>19050</xdr:rowOff>
    </xdr:from>
    <xdr:ext cx="47625" cy="47625"/>
    <xdr:pic macro="[1]!DesignIconClicked">
      <xdr:nvPicPr>
        <xdr:cNvPr id="24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8</xdr:col>
      <xdr:colOff>28575</xdr:colOff>
      <xdr:row>3</xdr:row>
      <xdr:rowOff>104775</xdr:rowOff>
    </xdr:from>
    <xdr:ext cx="47625" cy="47625"/>
    <xdr:pic macro="[1]!DesignIconClicked">
      <xdr:nvPicPr>
        <xdr:cNvPr id="25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28575</xdr:colOff>
      <xdr:row>3</xdr:row>
      <xdr:rowOff>19050</xdr:rowOff>
    </xdr:from>
    <xdr:ext cx="47625" cy="47625"/>
    <xdr:pic macro="[1]!DesignIconClicked">
      <xdr:nvPicPr>
        <xdr:cNvPr id="26" name="BEx5IHEF4Y9DWIVZ9QUDFCVGYIW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638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8</xdr:col>
      <xdr:colOff>28575</xdr:colOff>
      <xdr:row>3</xdr:row>
      <xdr:rowOff>104775</xdr:rowOff>
    </xdr:from>
    <xdr:ext cx="47625" cy="47625"/>
    <xdr:pic macro="[1]!DesignIconClicked">
      <xdr:nvPicPr>
        <xdr:cNvPr id="27" name="BExOAFGJCKFLXC0OOE7PY1UZZEP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28575</xdr:colOff>
      <xdr:row>3</xdr:row>
      <xdr:rowOff>19050</xdr:rowOff>
    </xdr:from>
    <xdr:ext cx="57150" cy="47625"/>
    <xdr:pic macro="[1]!DesignIconClicked">
      <xdr:nvPicPr>
        <xdr:cNvPr id="28" name="BEx5AG6QTCAN86876ZXLU1WM059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6381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8</xdr:col>
      <xdr:colOff>28575</xdr:colOff>
      <xdr:row>3</xdr:row>
      <xdr:rowOff>104775</xdr:rowOff>
    </xdr:from>
    <xdr:ext cx="57150" cy="47625"/>
    <xdr:pic macro="[1]!DesignIconClicked">
      <xdr:nvPicPr>
        <xdr:cNvPr id="29" name="BEx3S0TF7STUOQ3KLTZ1LFOST9C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498"/>
  <sheetViews>
    <sheetView zoomScaleNormal="100" workbookViewId="0">
      <pane xSplit="2" ySplit="6" topLeftCell="C383" activePane="bottomRight" state="frozen"/>
      <selection pane="topRight" activeCell="C1" sqref="C1"/>
      <selection pane="bottomLeft" activeCell="A6" sqref="A6"/>
      <selection pane="bottomRight" activeCell="N289" sqref="N289"/>
    </sheetView>
  </sheetViews>
  <sheetFormatPr defaultRowHeight="14.4"/>
  <cols>
    <col min="1" max="1" width="17.44140625" customWidth="1"/>
    <col min="2" max="2" width="33.6640625" customWidth="1"/>
    <col min="3" max="3" width="15.21875" hidden="1" customWidth="1"/>
    <col min="4" max="4" width="13.88671875" hidden="1" customWidth="1"/>
    <col min="5" max="5" width="12.77734375" hidden="1" customWidth="1"/>
    <col min="6" max="6" width="15.44140625" hidden="1" customWidth="1"/>
    <col min="7" max="7" width="0.6640625" hidden="1" customWidth="1"/>
    <col min="8" max="8" width="12.5546875" style="5" customWidth="1"/>
    <col min="9" max="9" width="0.21875" customWidth="1"/>
    <col min="10" max="10" width="12.77734375" customWidth="1"/>
    <col min="11" max="11" width="12.6640625" customWidth="1"/>
    <col min="12" max="13" width="15.44140625" bestFit="1" customWidth="1"/>
    <col min="14" max="25" width="16" bestFit="1" customWidth="1"/>
    <col min="26" max="30" width="15" bestFit="1" customWidth="1"/>
    <col min="31" max="31" width="14" bestFit="1" customWidth="1"/>
    <col min="32" max="32" width="15" bestFit="1" customWidth="1"/>
    <col min="33" max="33" width="14" bestFit="1" customWidth="1"/>
    <col min="246" max="246" width="2.77734375" customWidth="1"/>
    <col min="247" max="247" width="1.21875" customWidth="1"/>
    <col min="248" max="250" width="0" hidden="1" customWidth="1"/>
    <col min="251" max="251" width="3.77734375" customWidth="1"/>
    <col min="252" max="252" width="30.77734375" customWidth="1"/>
    <col min="253" max="253" width="65.77734375" customWidth="1"/>
    <col min="254" max="255" width="10.77734375" customWidth="1"/>
    <col min="256" max="256" width="11.77734375" customWidth="1"/>
    <col min="257" max="261" width="10.77734375" customWidth="1"/>
    <col min="262" max="267" width="12.77734375" bestFit="1" customWidth="1"/>
    <col min="268" max="269" width="15.44140625" bestFit="1" customWidth="1"/>
    <col min="270" max="281" width="16" bestFit="1" customWidth="1"/>
    <col min="282" max="286" width="15" bestFit="1" customWidth="1"/>
    <col min="287" max="287" width="14" bestFit="1" customWidth="1"/>
    <col min="288" max="288" width="15" bestFit="1" customWidth="1"/>
    <col min="289" max="289" width="14" bestFit="1" customWidth="1"/>
    <col min="502" max="502" width="2.77734375" customWidth="1"/>
    <col min="503" max="503" width="1.21875" customWidth="1"/>
    <col min="504" max="506" width="0" hidden="1" customWidth="1"/>
    <col min="507" max="507" width="3.77734375" customWidth="1"/>
    <col min="508" max="508" width="30.77734375" customWidth="1"/>
    <col min="509" max="509" width="65.77734375" customWidth="1"/>
    <col min="510" max="511" width="10.77734375" customWidth="1"/>
    <col min="512" max="512" width="11.77734375" customWidth="1"/>
    <col min="513" max="517" width="10.77734375" customWidth="1"/>
    <col min="518" max="523" width="12.77734375" bestFit="1" customWidth="1"/>
    <col min="524" max="525" width="15.44140625" bestFit="1" customWidth="1"/>
    <col min="526" max="537" width="16" bestFit="1" customWidth="1"/>
    <col min="538" max="542" width="15" bestFit="1" customWidth="1"/>
    <col min="543" max="543" width="14" bestFit="1" customWidth="1"/>
    <col min="544" max="544" width="15" bestFit="1" customWidth="1"/>
    <col min="545" max="545" width="14" bestFit="1" customWidth="1"/>
    <col min="758" max="758" width="2.77734375" customWidth="1"/>
    <col min="759" max="759" width="1.21875" customWidth="1"/>
    <col min="760" max="762" width="0" hidden="1" customWidth="1"/>
    <col min="763" max="763" width="3.77734375" customWidth="1"/>
    <col min="764" max="764" width="30.77734375" customWidth="1"/>
    <col min="765" max="765" width="65.77734375" customWidth="1"/>
    <col min="766" max="767" width="10.77734375" customWidth="1"/>
    <col min="768" max="768" width="11.77734375" customWidth="1"/>
    <col min="769" max="773" width="10.77734375" customWidth="1"/>
    <col min="774" max="779" width="12.77734375" bestFit="1" customWidth="1"/>
    <col min="780" max="781" width="15.44140625" bestFit="1" customWidth="1"/>
    <col min="782" max="793" width="16" bestFit="1" customWidth="1"/>
    <col min="794" max="798" width="15" bestFit="1" customWidth="1"/>
    <col min="799" max="799" width="14" bestFit="1" customWidth="1"/>
    <col min="800" max="800" width="15" bestFit="1" customWidth="1"/>
    <col min="801" max="801" width="14" bestFit="1" customWidth="1"/>
    <col min="1014" max="1014" width="2.77734375" customWidth="1"/>
    <col min="1015" max="1015" width="1.21875" customWidth="1"/>
    <col min="1016" max="1018" width="0" hidden="1" customWidth="1"/>
    <col min="1019" max="1019" width="3.77734375" customWidth="1"/>
    <col min="1020" max="1020" width="30.77734375" customWidth="1"/>
    <col min="1021" max="1021" width="65.77734375" customWidth="1"/>
    <col min="1022" max="1023" width="10.77734375" customWidth="1"/>
    <col min="1024" max="1024" width="11.77734375" customWidth="1"/>
    <col min="1025" max="1029" width="10.77734375" customWidth="1"/>
    <col min="1030" max="1035" width="12.77734375" bestFit="1" customWidth="1"/>
    <col min="1036" max="1037" width="15.44140625" bestFit="1" customWidth="1"/>
    <col min="1038" max="1049" width="16" bestFit="1" customWidth="1"/>
    <col min="1050" max="1054" width="15" bestFit="1" customWidth="1"/>
    <col min="1055" max="1055" width="14" bestFit="1" customWidth="1"/>
    <col min="1056" max="1056" width="15" bestFit="1" customWidth="1"/>
    <col min="1057" max="1057" width="14" bestFit="1" customWidth="1"/>
    <col min="1270" max="1270" width="2.77734375" customWidth="1"/>
    <col min="1271" max="1271" width="1.21875" customWidth="1"/>
    <col min="1272" max="1274" width="0" hidden="1" customWidth="1"/>
    <col min="1275" max="1275" width="3.77734375" customWidth="1"/>
    <col min="1276" max="1276" width="30.77734375" customWidth="1"/>
    <col min="1277" max="1277" width="65.77734375" customWidth="1"/>
    <col min="1278" max="1279" width="10.77734375" customWidth="1"/>
    <col min="1280" max="1280" width="11.77734375" customWidth="1"/>
    <col min="1281" max="1285" width="10.77734375" customWidth="1"/>
    <col min="1286" max="1291" width="12.77734375" bestFit="1" customWidth="1"/>
    <col min="1292" max="1293" width="15.44140625" bestFit="1" customWidth="1"/>
    <col min="1294" max="1305" width="16" bestFit="1" customWidth="1"/>
    <col min="1306" max="1310" width="15" bestFit="1" customWidth="1"/>
    <col min="1311" max="1311" width="14" bestFit="1" customWidth="1"/>
    <col min="1312" max="1312" width="15" bestFit="1" customWidth="1"/>
    <col min="1313" max="1313" width="14" bestFit="1" customWidth="1"/>
    <col min="1526" max="1526" width="2.77734375" customWidth="1"/>
    <col min="1527" max="1527" width="1.21875" customWidth="1"/>
    <col min="1528" max="1530" width="0" hidden="1" customWidth="1"/>
    <col min="1531" max="1531" width="3.77734375" customWidth="1"/>
    <col min="1532" max="1532" width="30.77734375" customWidth="1"/>
    <col min="1533" max="1533" width="65.77734375" customWidth="1"/>
    <col min="1534" max="1535" width="10.77734375" customWidth="1"/>
    <col min="1536" max="1536" width="11.77734375" customWidth="1"/>
    <col min="1537" max="1541" width="10.77734375" customWidth="1"/>
    <col min="1542" max="1547" width="12.77734375" bestFit="1" customWidth="1"/>
    <col min="1548" max="1549" width="15.44140625" bestFit="1" customWidth="1"/>
    <col min="1550" max="1561" width="16" bestFit="1" customWidth="1"/>
    <col min="1562" max="1566" width="15" bestFit="1" customWidth="1"/>
    <col min="1567" max="1567" width="14" bestFit="1" customWidth="1"/>
    <col min="1568" max="1568" width="15" bestFit="1" customWidth="1"/>
    <col min="1569" max="1569" width="14" bestFit="1" customWidth="1"/>
    <col min="1782" max="1782" width="2.77734375" customWidth="1"/>
    <col min="1783" max="1783" width="1.21875" customWidth="1"/>
    <col min="1784" max="1786" width="0" hidden="1" customWidth="1"/>
    <col min="1787" max="1787" width="3.77734375" customWidth="1"/>
    <col min="1788" max="1788" width="30.77734375" customWidth="1"/>
    <col min="1789" max="1789" width="65.77734375" customWidth="1"/>
    <col min="1790" max="1791" width="10.77734375" customWidth="1"/>
    <col min="1792" max="1792" width="11.77734375" customWidth="1"/>
    <col min="1793" max="1797" width="10.77734375" customWidth="1"/>
    <col min="1798" max="1803" width="12.77734375" bestFit="1" customWidth="1"/>
    <col min="1804" max="1805" width="15.44140625" bestFit="1" customWidth="1"/>
    <col min="1806" max="1817" width="16" bestFit="1" customWidth="1"/>
    <col min="1818" max="1822" width="15" bestFit="1" customWidth="1"/>
    <col min="1823" max="1823" width="14" bestFit="1" customWidth="1"/>
    <col min="1824" max="1824" width="15" bestFit="1" customWidth="1"/>
    <col min="1825" max="1825" width="14" bestFit="1" customWidth="1"/>
    <col min="2038" max="2038" width="2.77734375" customWidth="1"/>
    <col min="2039" max="2039" width="1.21875" customWidth="1"/>
    <col min="2040" max="2042" width="0" hidden="1" customWidth="1"/>
    <col min="2043" max="2043" width="3.77734375" customWidth="1"/>
    <col min="2044" max="2044" width="30.77734375" customWidth="1"/>
    <col min="2045" max="2045" width="65.77734375" customWidth="1"/>
    <col min="2046" max="2047" width="10.77734375" customWidth="1"/>
    <col min="2048" max="2048" width="11.77734375" customWidth="1"/>
    <col min="2049" max="2053" width="10.77734375" customWidth="1"/>
    <col min="2054" max="2059" width="12.77734375" bestFit="1" customWidth="1"/>
    <col min="2060" max="2061" width="15.44140625" bestFit="1" customWidth="1"/>
    <col min="2062" max="2073" width="16" bestFit="1" customWidth="1"/>
    <col min="2074" max="2078" width="15" bestFit="1" customWidth="1"/>
    <col min="2079" max="2079" width="14" bestFit="1" customWidth="1"/>
    <col min="2080" max="2080" width="15" bestFit="1" customWidth="1"/>
    <col min="2081" max="2081" width="14" bestFit="1" customWidth="1"/>
    <col min="2294" max="2294" width="2.77734375" customWidth="1"/>
    <col min="2295" max="2295" width="1.21875" customWidth="1"/>
    <col min="2296" max="2298" width="0" hidden="1" customWidth="1"/>
    <col min="2299" max="2299" width="3.77734375" customWidth="1"/>
    <col min="2300" max="2300" width="30.77734375" customWidth="1"/>
    <col min="2301" max="2301" width="65.77734375" customWidth="1"/>
    <col min="2302" max="2303" width="10.77734375" customWidth="1"/>
    <col min="2304" max="2304" width="11.77734375" customWidth="1"/>
    <col min="2305" max="2309" width="10.77734375" customWidth="1"/>
    <col min="2310" max="2315" width="12.77734375" bestFit="1" customWidth="1"/>
    <col min="2316" max="2317" width="15.44140625" bestFit="1" customWidth="1"/>
    <col min="2318" max="2329" width="16" bestFit="1" customWidth="1"/>
    <col min="2330" max="2334" width="15" bestFit="1" customWidth="1"/>
    <col min="2335" max="2335" width="14" bestFit="1" customWidth="1"/>
    <col min="2336" max="2336" width="15" bestFit="1" customWidth="1"/>
    <col min="2337" max="2337" width="14" bestFit="1" customWidth="1"/>
    <col min="2550" max="2550" width="2.77734375" customWidth="1"/>
    <col min="2551" max="2551" width="1.21875" customWidth="1"/>
    <col min="2552" max="2554" width="0" hidden="1" customWidth="1"/>
    <col min="2555" max="2555" width="3.77734375" customWidth="1"/>
    <col min="2556" max="2556" width="30.77734375" customWidth="1"/>
    <col min="2557" max="2557" width="65.77734375" customWidth="1"/>
    <col min="2558" max="2559" width="10.77734375" customWidth="1"/>
    <col min="2560" max="2560" width="11.77734375" customWidth="1"/>
    <col min="2561" max="2565" width="10.77734375" customWidth="1"/>
    <col min="2566" max="2571" width="12.77734375" bestFit="1" customWidth="1"/>
    <col min="2572" max="2573" width="15.44140625" bestFit="1" customWidth="1"/>
    <col min="2574" max="2585" width="16" bestFit="1" customWidth="1"/>
    <col min="2586" max="2590" width="15" bestFit="1" customWidth="1"/>
    <col min="2591" max="2591" width="14" bestFit="1" customWidth="1"/>
    <col min="2592" max="2592" width="15" bestFit="1" customWidth="1"/>
    <col min="2593" max="2593" width="14" bestFit="1" customWidth="1"/>
    <col min="2806" max="2806" width="2.77734375" customWidth="1"/>
    <col min="2807" max="2807" width="1.21875" customWidth="1"/>
    <col min="2808" max="2810" width="0" hidden="1" customWidth="1"/>
    <col min="2811" max="2811" width="3.77734375" customWidth="1"/>
    <col min="2812" max="2812" width="30.77734375" customWidth="1"/>
    <col min="2813" max="2813" width="65.77734375" customWidth="1"/>
    <col min="2814" max="2815" width="10.77734375" customWidth="1"/>
    <col min="2816" max="2816" width="11.77734375" customWidth="1"/>
    <col min="2817" max="2821" width="10.77734375" customWidth="1"/>
    <col min="2822" max="2827" width="12.77734375" bestFit="1" customWidth="1"/>
    <col min="2828" max="2829" width="15.44140625" bestFit="1" customWidth="1"/>
    <col min="2830" max="2841" width="16" bestFit="1" customWidth="1"/>
    <col min="2842" max="2846" width="15" bestFit="1" customWidth="1"/>
    <col min="2847" max="2847" width="14" bestFit="1" customWidth="1"/>
    <col min="2848" max="2848" width="15" bestFit="1" customWidth="1"/>
    <col min="2849" max="2849" width="14" bestFit="1" customWidth="1"/>
    <col min="3062" max="3062" width="2.77734375" customWidth="1"/>
    <col min="3063" max="3063" width="1.21875" customWidth="1"/>
    <col min="3064" max="3066" width="0" hidden="1" customWidth="1"/>
    <col min="3067" max="3067" width="3.77734375" customWidth="1"/>
    <col min="3068" max="3068" width="30.77734375" customWidth="1"/>
    <col min="3069" max="3069" width="65.77734375" customWidth="1"/>
    <col min="3070" max="3071" width="10.77734375" customWidth="1"/>
    <col min="3072" max="3072" width="11.77734375" customWidth="1"/>
    <col min="3073" max="3077" width="10.77734375" customWidth="1"/>
    <col min="3078" max="3083" width="12.77734375" bestFit="1" customWidth="1"/>
    <col min="3084" max="3085" width="15.44140625" bestFit="1" customWidth="1"/>
    <col min="3086" max="3097" width="16" bestFit="1" customWidth="1"/>
    <col min="3098" max="3102" width="15" bestFit="1" customWidth="1"/>
    <col min="3103" max="3103" width="14" bestFit="1" customWidth="1"/>
    <col min="3104" max="3104" width="15" bestFit="1" customWidth="1"/>
    <col min="3105" max="3105" width="14" bestFit="1" customWidth="1"/>
    <col min="3318" max="3318" width="2.77734375" customWidth="1"/>
    <col min="3319" max="3319" width="1.21875" customWidth="1"/>
    <col min="3320" max="3322" width="0" hidden="1" customWidth="1"/>
    <col min="3323" max="3323" width="3.77734375" customWidth="1"/>
    <col min="3324" max="3324" width="30.77734375" customWidth="1"/>
    <col min="3325" max="3325" width="65.77734375" customWidth="1"/>
    <col min="3326" max="3327" width="10.77734375" customWidth="1"/>
    <col min="3328" max="3328" width="11.77734375" customWidth="1"/>
    <col min="3329" max="3333" width="10.77734375" customWidth="1"/>
    <col min="3334" max="3339" width="12.77734375" bestFit="1" customWidth="1"/>
    <col min="3340" max="3341" width="15.44140625" bestFit="1" customWidth="1"/>
    <col min="3342" max="3353" width="16" bestFit="1" customWidth="1"/>
    <col min="3354" max="3358" width="15" bestFit="1" customWidth="1"/>
    <col min="3359" max="3359" width="14" bestFit="1" customWidth="1"/>
    <col min="3360" max="3360" width="15" bestFit="1" customWidth="1"/>
    <col min="3361" max="3361" width="14" bestFit="1" customWidth="1"/>
    <col min="3574" max="3574" width="2.77734375" customWidth="1"/>
    <col min="3575" max="3575" width="1.21875" customWidth="1"/>
    <col min="3576" max="3578" width="0" hidden="1" customWidth="1"/>
    <col min="3579" max="3579" width="3.77734375" customWidth="1"/>
    <col min="3580" max="3580" width="30.77734375" customWidth="1"/>
    <col min="3581" max="3581" width="65.77734375" customWidth="1"/>
    <col min="3582" max="3583" width="10.77734375" customWidth="1"/>
    <col min="3584" max="3584" width="11.77734375" customWidth="1"/>
    <col min="3585" max="3589" width="10.77734375" customWidth="1"/>
    <col min="3590" max="3595" width="12.77734375" bestFit="1" customWidth="1"/>
    <col min="3596" max="3597" width="15.44140625" bestFit="1" customWidth="1"/>
    <col min="3598" max="3609" width="16" bestFit="1" customWidth="1"/>
    <col min="3610" max="3614" width="15" bestFit="1" customWidth="1"/>
    <col min="3615" max="3615" width="14" bestFit="1" customWidth="1"/>
    <col min="3616" max="3616" width="15" bestFit="1" customWidth="1"/>
    <col min="3617" max="3617" width="14" bestFit="1" customWidth="1"/>
    <col min="3830" max="3830" width="2.77734375" customWidth="1"/>
    <col min="3831" max="3831" width="1.21875" customWidth="1"/>
    <col min="3832" max="3834" width="0" hidden="1" customWidth="1"/>
    <col min="3835" max="3835" width="3.77734375" customWidth="1"/>
    <col min="3836" max="3836" width="30.77734375" customWidth="1"/>
    <col min="3837" max="3837" width="65.77734375" customWidth="1"/>
    <col min="3838" max="3839" width="10.77734375" customWidth="1"/>
    <col min="3840" max="3840" width="11.77734375" customWidth="1"/>
    <col min="3841" max="3845" width="10.77734375" customWidth="1"/>
    <col min="3846" max="3851" width="12.77734375" bestFit="1" customWidth="1"/>
    <col min="3852" max="3853" width="15.44140625" bestFit="1" customWidth="1"/>
    <col min="3854" max="3865" width="16" bestFit="1" customWidth="1"/>
    <col min="3866" max="3870" width="15" bestFit="1" customWidth="1"/>
    <col min="3871" max="3871" width="14" bestFit="1" customWidth="1"/>
    <col min="3872" max="3872" width="15" bestFit="1" customWidth="1"/>
    <col min="3873" max="3873" width="14" bestFit="1" customWidth="1"/>
    <col min="4086" max="4086" width="2.77734375" customWidth="1"/>
    <col min="4087" max="4087" width="1.21875" customWidth="1"/>
    <col min="4088" max="4090" width="0" hidden="1" customWidth="1"/>
    <col min="4091" max="4091" width="3.77734375" customWidth="1"/>
    <col min="4092" max="4092" width="30.77734375" customWidth="1"/>
    <col min="4093" max="4093" width="65.77734375" customWidth="1"/>
    <col min="4094" max="4095" width="10.77734375" customWidth="1"/>
    <col min="4096" max="4096" width="11.77734375" customWidth="1"/>
    <col min="4097" max="4101" width="10.77734375" customWidth="1"/>
    <col min="4102" max="4107" width="12.77734375" bestFit="1" customWidth="1"/>
    <col min="4108" max="4109" width="15.44140625" bestFit="1" customWidth="1"/>
    <col min="4110" max="4121" width="16" bestFit="1" customWidth="1"/>
    <col min="4122" max="4126" width="15" bestFit="1" customWidth="1"/>
    <col min="4127" max="4127" width="14" bestFit="1" customWidth="1"/>
    <col min="4128" max="4128" width="15" bestFit="1" customWidth="1"/>
    <col min="4129" max="4129" width="14" bestFit="1" customWidth="1"/>
    <col min="4342" max="4342" width="2.77734375" customWidth="1"/>
    <col min="4343" max="4343" width="1.21875" customWidth="1"/>
    <col min="4344" max="4346" width="0" hidden="1" customWidth="1"/>
    <col min="4347" max="4347" width="3.77734375" customWidth="1"/>
    <col min="4348" max="4348" width="30.77734375" customWidth="1"/>
    <col min="4349" max="4349" width="65.77734375" customWidth="1"/>
    <col min="4350" max="4351" width="10.77734375" customWidth="1"/>
    <col min="4352" max="4352" width="11.77734375" customWidth="1"/>
    <col min="4353" max="4357" width="10.77734375" customWidth="1"/>
    <col min="4358" max="4363" width="12.77734375" bestFit="1" customWidth="1"/>
    <col min="4364" max="4365" width="15.44140625" bestFit="1" customWidth="1"/>
    <col min="4366" max="4377" width="16" bestFit="1" customWidth="1"/>
    <col min="4378" max="4382" width="15" bestFit="1" customWidth="1"/>
    <col min="4383" max="4383" width="14" bestFit="1" customWidth="1"/>
    <col min="4384" max="4384" width="15" bestFit="1" customWidth="1"/>
    <col min="4385" max="4385" width="14" bestFit="1" customWidth="1"/>
    <col min="4598" max="4598" width="2.77734375" customWidth="1"/>
    <col min="4599" max="4599" width="1.21875" customWidth="1"/>
    <col min="4600" max="4602" width="0" hidden="1" customWidth="1"/>
    <col min="4603" max="4603" width="3.77734375" customWidth="1"/>
    <col min="4604" max="4604" width="30.77734375" customWidth="1"/>
    <col min="4605" max="4605" width="65.77734375" customWidth="1"/>
    <col min="4606" max="4607" width="10.77734375" customWidth="1"/>
    <col min="4608" max="4608" width="11.77734375" customWidth="1"/>
    <col min="4609" max="4613" width="10.77734375" customWidth="1"/>
    <col min="4614" max="4619" width="12.77734375" bestFit="1" customWidth="1"/>
    <col min="4620" max="4621" width="15.44140625" bestFit="1" customWidth="1"/>
    <col min="4622" max="4633" width="16" bestFit="1" customWidth="1"/>
    <col min="4634" max="4638" width="15" bestFit="1" customWidth="1"/>
    <col min="4639" max="4639" width="14" bestFit="1" customWidth="1"/>
    <col min="4640" max="4640" width="15" bestFit="1" customWidth="1"/>
    <col min="4641" max="4641" width="14" bestFit="1" customWidth="1"/>
    <col min="4854" max="4854" width="2.77734375" customWidth="1"/>
    <col min="4855" max="4855" width="1.21875" customWidth="1"/>
    <col min="4856" max="4858" width="0" hidden="1" customWidth="1"/>
    <col min="4859" max="4859" width="3.77734375" customWidth="1"/>
    <col min="4860" max="4860" width="30.77734375" customWidth="1"/>
    <col min="4861" max="4861" width="65.77734375" customWidth="1"/>
    <col min="4862" max="4863" width="10.77734375" customWidth="1"/>
    <col min="4864" max="4864" width="11.77734375" customWidth="1"/>
    <col min="4865" max="4869" width="10.77734375" customWidth="1"/>
    <col min="4870" max="4875" width="12.77734375" bestFit="1" customWidth="1"/>
    <col min="4876" max="4877" width="15.44140625" bestFit="1" customWidth="1"/>
    <col min="4878" max="4889" width="16" bestFit="1" customWidth="1"/>
    <col min="4890" max="4894" width="15" bestFit="1" customWidth="1"/>
    <col min="4895" max="4895" width="14" bestFit="1" customWidth="1"/>
    <col min="4896" max="4896" width="15" bestFit="1" customWidth="1"/>
    <col min="4897" max="4897" width="14" bestFit="1" customWidth="1"/>
    <col min="5110" max="5110" width="2.77734375" customWidth="1"/>
    <col min="5111" max="5111" width="1.21875" customWidth="1"/>
    <col min="5112" max="5114" width="0" hidden="1" customWidth="1"/>
    <col min="5115" max="5115" width="3.77734375" customWidth="1"/>
    <col min="5116" max="5116" width="30.77734375" customWidth="1"/>
    <col min="5117" max="5117" width="65.77734375" customWidth="1"/>
    <col min="5118" max="5119" width="10.77734375" customWidth="1"/>
    <col min="5120" max="5120" width="11.77734375" customWidth="1"/>
    <col min="5121" max="5125" width="10.77734375" customWidth="1"/>
    <col min="5126" max="5131" width="12.77734375" bestFit="1" customWidth="1"/>
    <col min="5132" max="5133" width="15.44140625" bestFit="1" customWidth="1"/>
    <col min="5134" max="5145" width="16" bestFit="1" customWidth="1"/>
    <col min="5146" max="5150" width="15" bestFit="1" customWidth="1"/>
    <col min="5151" max="5151" width="14" bestFit="1" customWidth="1"/>
    <col min="5152" max="5152" width="15" bestFit="1" customWidth="1"/>
    <col min="5153" max="5153" width="14" bestFit="1" customWidth="1"/>
    <col min="5366" max="5366" width="2.77734375" customWidth="1"/>
    <col min="5367" max="5367" width="1.21875" customWidth="1"/>
    <col min="5368" max="5370" width="0" hidden="1" customWidth="1"/>
    <col min="5371" max="5371" width="3.77734375" customWidth="1"/>
    <col min="5372" max="5372" width="30.77734375" customWidth="1"/>
    <col min="5373" max="5373" width="65.77734375" customWidth="1"/>
    <col min="5374" max="5375" width="10.77734375" customWidth="1"/>
    <col min="5376" max="5376" width="11.77734375" customWidth="1"/>
    <col min="5377" max="5381" width="10.77734375" customWidth="1"/>
    <col min="5382" max="5387" width="12.77734375" bestFit="1" customWidth="1"/>
    <col min="5388" max="5389" width="15.44140625" bestFit="1" customWidth="1"/>
    <col min="5390" max="5401" width="16" bestFit="1" customWidth="1"/>
    <col min="5402" max="5406" width="15" bestFit="1" customWidth="1"/>
    <col min="5407" max="5407" width="14" bestFit="1" customWidth="1"/>
    <col min="5408" max="5408" width="15" bestFit="1" customWidth="1"/>
    <col min="5409" max="5409" width="14" bestFit="1" customWidth="1"/>
    <col min="5622" max="5622" width="2.77734375" customWidth="1"/>
    <col min="5623" max="5623" width="1.21875" customWidth="1"/>
    <col min="5624" max="5626" width="0" hidden="1" customWidth="1"/>
    <col min="5627" max="5627" width="3.77734375" customWidth="1"/>
    <col min="5628" max="5628" width="30.77734375" customWidth="1"/>
    <col min="5629" max="5629" width="65.77734375" customWidth="1"/>
    <col min="5630" max="5631" width="10.77734375" customWidth="1"/>
    <col min="5632" max="5632" width="11.77734375" customWidth="1"/>
    <col min="5633" max="5637" width="10.77734375" customWidth="1"/>
    <col min="5638" max="5643" width="12.77734375" bestFit="1" customWidth="1"/>
    <col min="5644" max="5645" width="15.44140625" bestFit="1" customWidth="1"/>
    <col min="5646" max="5657" width="16" bestFit="1" customWidth="1"/>
    <col min="5658" max="5662" width="15" bestFit="1" customWidth="1"/>
    <col min="5663" max="5663" width="14" bestFit="1" customWidth="1"/>
    <col min="5664" max="5664" width="15" bestFit="1" customWidth="1"/>
    <col min="5665" max="5665" width="14" bestFit="1" customWidth="1"/>
    <col min="5878" max="5878" width="2.77734375" customWidth="1"/>
    <col min="5879" max="5879" width="1.21875" customWidth="1"/>
    <col min="5880" max="5882" width="0" hidden="1" customWidth="1"/>
    <col min="5883" max="5883" width="3.77734375" customWidth="1"/>
    <col min="5884" max="5884" width="30.77734375" customWidth="1"/>
    <col min="5885" max="5885" width="65.77734375" customWidth="1"/>
    <col min="5886" max="5887" width="10.77734375" customWidth="1"/>
    <col min="5888" max="5888" width="11.77734375" customWidth="1"/>
    <col min="5889" max="5893" width="10.77734375" customWidth="1"/>
    <col min="5894" max="5899" width="12.77734375" bestFit="1" customWidth="1"/>
    <col min="5900" max="5901" width="15.44140625" bestFit="1" customWidth="1"/>
    <col min="5902" max="5913" width="16" bestFit="1" customWidth="1"/>
    <col min="5914" max="5918" width="15" bestFit="1" customWidth="1"/>
    <col min="5919" max="5919" width="14" bestFit="1" customWidth="1"/>
    <col min="5920" max="5920" width="15" bestFit="1" customWidth="1"/>
    <col min="5921" max="5921" width="14" bestFit="1" customWidth="1"/>
    <col min="6134" max="6134" width="2.77734375" customWidth="1"/>
    <col min="6135" max="6135" width="1.21875" customWidth="1"/>
    <col min="6136" max="6138" width="0" hidden="1" customWidth="1"/>
    <col min="6139" max="6139" width="3.77734375" customWidth="1"/>
    <col min="6140" max="6140" width="30.77734375" customWidth="1"/>
    <col min="6141" max="6141" width="65.77734375" customWidth="1"/>
    <col min="6142" max="6143" width="10.77734375" customWidth="1"/>
    <col min="6144" max="6144" width="11.77734375" customWidth="1"/>
    <col min="6145" max="6149" width="10.77734375" customWidth="1"/>
    <col min="6150" max="6155" width="12.77734375" bestFit="1" customWidth="1"/>
    <col min="6156" max="6157" width="15.44140625" bestFit="1" customWidth="1"/>
    <col min="6158" max="6169" width="16" bestFit="1" customWidth="1"/>
    <col min="6170" max="6174" width="15" bestFit="1" customWidth="1"/>
    <col min="6175" max="6175" width="14" bestFit="1" customWidth="1"/>
    <col min="6176" max="6176" width="15" bestFit="1" customWidth="1"/>
    <col min="6177" max="6177" width="14" bestFit="1" customWidth="1"/>
    <col min="6390" max="6390" width="2.77734375" customWidth="1"/>
    <col min="6391" max="6391" width="1.21875" customWidth="1"/>
    <col min="6392" max="6394" width="0" hidden="1" customWidth="1"/>
    <col min="6395" max="6395" width="3.77734375" customWidth="1"/>
    <col min="6396" max="6396" width="30.77734375" customWidth="1"/>
    <col min="6397" max="6397" width="65.77734375" customWidth="1"/>
    <col min="6398" max="6399" width="10.77734375" customWidth="1"/>
    <col min="6400" max="6400" width="11.77734375" customWidth="1"/>
    <col min="6401" max="6405" width="10.77734375" customWidth="1"/>
    <col min="6406" max="6411" width="12.77734375" bestFit="1" customWidth="1"/>
    <col min="6412" max="6413" width="15.44140625" bestFit="1" customWidth="1"/>
    <col min="6414" max="6425" width="16" bestFit="1" customWidth="1"/>
    <col min="6426" max="6430" width="15" bestFit="1" customWidth="1"/>
    <col min="6431" max="6431" width="14" bestFit="1" customWidth="1"/>
    <col min="6432" max="6432" width="15" bestFit="1" customWidth="1"/>
    <col min="6433" max="6433" width="14" bestFit="1" customWidth="1"/>
    <col min="6646" max="6646" width="2.77734375" customWidth="1"/>
    <col min="6647" max="6647" width="1.21875" customWidth="1"/>
    <col min="6648" max="6650" width="0" hidden="1" customWidth="1"/>
    <col min="6651" max="6651" width="3.77734375" customWidth="1"/>
    <col min="6652" max="6652" width="30.77734375" customWidth="1"/>
    <col min="6653" max="6653" width="65.77734375" customWidth="1"/>
    <col min="6654" max="6655" width="10.77734375" customWidth="1"/>
    <col min="6656" max="6656" width="11.77734375" customWidth="1"/>
    <col min="6657" max="6661" width="10.77734375" customWidth="1"/>
    <col min="6662" max="6667" width="12.77734375" bestFit="1" customWidth="1"/>
    <col min="6668" max="6669" width="15.44140625" bestFit="1" customWidth="1"/>
    <col min="6670" max="6681" width="16" bestFit="1" customWidth="1"/>
    <col min="6682" max="6686" width="15" bestFit="1" customWidth="1"/>
    <col min="6687" max="6687" width="14" bestFit="1" customWidth="1"/>
    <col min="6688" max="6688" width="15" bestFit="1" customWidth="1"/>
    <col min="6689" max="6689" width="14" bestFit="1" customWidth="1"/>
    <col min="6902" max="6902" width="2.77734375" customWidth="1"/>
    <col min="6903" max="6903" width="1.21875" customWidth="1"/>
    <col min="6904" max="6906" width="0" hidden="1" customWidth="1"/>
    <col min="6907" max="6907" width="3.77734375" customWidth="1"/>
    <col min="6908" max="6908" width="30.77734375" customWidth="1"/>
    <col min="6909" max="6909" width="65.77734375" customWidth="1"/>
    <col min="6910" max="6911" width="10.77734375" customWidth="1"/>
    <col min="6912" max="6912" width="11.77734375" customWidth="1"/>
    <col min="6913" max="6917" width="10.77734375" customWidth="1"/>
    <col min="6918" max="6923" width="12.77734375" bestFit="1" customWidth="1"/>
    <col min="6924" max="6925" width="15.44140625" bestFit="1" customWidth="1"/>
    <col min="6926" max="6937" width="16" bestFit="1" customWidth="1"/>
    <col min="6938" max="6942" width="15" bestFit="1" customWidth="1"/>
    <col min="6943" max="6943" width="14" bestFit="1" customWidth="1"/>
    <col min="6944" max="6944" width="15" bestFit="1" customWidth="1"/>
    <col min="6945" max="6945" width="14" bestFit="1" customWidth="1"/>
    <col min="7158" max="7158" width="2.77734375" customWidth="1"/>
    <col min="7159" max="7159" width="1.21875" customWidth="1"/>
    <col min="7160" max="7162" width="0" hidden="1" customWidth="1"/>
    <col min="7163" max="7163" width="3.77734375" customWidth="1"/>
    <col min="7164" max="7164" width="30.77734375" customWidth="1"/>
    <col min="7165" max="7165" width="65.77734375" customWidth="1"/>
    <col min="7166" max="7167" width="10.77734375" customWidth="1"/>
    <col min="7168" max="7168" width="11.77734375" customWidth="1"/>
    <col min="7169" max="7173" width="10.77734375" customWidth="1"/>
    <col min="7174" max="7179" width="12.77734375" bestFit="1" customWidth="1"/>
    <col min="7180" max="7181" width="15.44140625" bestFit="1" customWidth="1"/>
    <col min="7182" max="7193" width="16" bestFit="1" customWidth="1"/>
    <col min="7194" max="7198" width="15" bestFit="1" customWidth="1"/>
    <col min="7199" max="7199" width="14" bestFit="1" customWidth="1"/>
    <col min="7200" max="7200" width="15" bestFit="1" customWidth="1"/>
    <col min="7201" max="7201" width="14" bestFit="1" customWidth="1"/>
    <col min="7414" max="7414" width="2.77734375" customWidth="1"/>
    <col min="7415" max="7415" width="1.21875" customWidth="1"/>
    <col min="7416" max="7418" width="0" hidden="1" customWidth="1"/>
    <col min="7419" max="7419" width="3.77734375" customWidth="1"/>
    <col min="7420" max="7420" width="30.77734375" customWidth="1"/>
    <col min="7421" max="7421" width="65.77734375" customWidth="1"/>
    <col min="7422" max="7423" width="10.77734375" customWidth="1"/>
    <col min="7424" max="7424" width="11.77734375" customWidth="1"/>
    <col min="7425" max="7429" width="10.77734375" customWidth="1"/>
    <col min="7430" max="7435" width="12.77734375" bestFit="1" customWidth="1"/>
    <col min="7436" max="7437" width="15.44140625" bestFit="1" customWidth="1"/>
    <col min="7438" max="7449" width="16" bestFit="1" customWidth="1"/>
    <col min="7450" max="7454" width="15" bestFit="1" customWidth="1"/>
    <col min="7455" max="7455" width="14" bestFit="1" customWidth="1"/>
    <col min="7456" max="7456" width="15" bestFit="1" customWidth="1"/>
    <col min="7457" max="7457" width="14" bestFit="1" customWidth="1"/>
    <col min="7670" max="7670" width="2.77734375" customWidth="1"/>
    <col min="7671" max="7671" width="1.21875" customWidth="1"/>
    <col min="7672" max="7674" width="0" hidden="1" customWidth="1"/>
    <col min="7675" max="7675" width="3.77734375" customWidth="1"/>
    <col min="7676" max="7676" width="30.77734375" customWidth="1"/>
    <col min="7677" max="7677" width="65.77734375" customWidth="1"/>
    <col min="7678" max="7679" width="10.77734375" customWidth="1"/>
    <col min="7680" max="7680" width="11.77734375" customWidth="1"/>
    <col min="7681" max="7685" width="10.77734375" customWidth="1"/>
    <col min="7686" max="7691" width="12.77734375" bestFit="1" customWidth="1"/>
    <col min="7692" max="7693" width="15.44140625" bestFit="1" customWidth="1"/>
    <col min="7694" max="7705" width="16" bestFit="1" customWidth="1"/>
    <col min="7706" max="7710" width="15" bestFit="1" customWidth="1"/>
    <col min="7711" max="7711" width="14" bestFit="1" customWidth="1"/>
    <col min="7712" max="7712" width="15" bestFit="1" customWidth="1"/>
    <col min="7713" max="7713" width="14" bestFit="1" customWidth="1"/>
    <col min="7926" max="7926" width="2.77734375" customWidth="1"/>
    <col min="7927" max="7927" width="1.21875" customWidth="1"/>
    <col min="7928" max="7930" width="0" hidden="1" customWidth="1"/>
    <col min="7931" max="7931" width="3.77734375" customWidth="1"/>
    <col min="7932" max="7932" width="30.77734375" customWidth="1"/>
    <col min="7933" max="7933" width="65.77734375" customWidth="1"/>
    <col min="7934" max="7935" width="10.77734375" customWidth="1"/>
    <col min="7936" max="7936" width="11.77734375" customWidth="1"/>
    <col min="7937" max="7941" width="10.77734375" customWidth="1"/>
    <col min="7942" max="7947" width="12.77734375" bestFit="1" customWidth="1"/>
    <col min="7948" max="7949" width="15.44140625" bestFit="1" customWidth="1"/>
    <col min="7950" max="7961" width="16" bestFit="1" customWidth="1"/>
    <col min="7962" max="7966" width="15" bestFit="1" customWidth="1"/>
    <col min="7967" max="7967" width="14" bestFit="1" customWidth="1"/>
    <col min="7968" max="7968" width="15" bestFit="1" customWidth="1"/>
    <col min="7969" max="7969" width="14" bestFit="1" customWidth="1"/>
    <col min="8182" max="8182" width="2.77734375" customWidth="1"/>
    <col min="8183" max="8183" width="1.21875" customWidth="1"/>
    <col min="8184" max="8186" width="0" hidden="1" customWidth="1"/>
    <col min="8187" max="8187" width="3.77734375" customWidth="1"/>
    <col min="8188" max="8188" width="30.77734375" customWidth="1"/>
    <col min="8189" max="8189" width="65.77734375" customWidth="1"/>
    <col min="8190" max="8191" width="10.77734375" customWidth="1"/>
    <col min="8192" max="8192" width="11.77734375" customWidth="1"/>
    <col min="8193" max="8197" width="10.77734375" customWidth="1"/>
    <col min="8198" max="8203" width="12.77734375" bestFit="1" customWidth="1"/>
    <col min="8204" max="8205" width="15.44140625" bestFit="1" customWidth="1"/>
    <col min="8206" max="8217" width="16" bestFit="1" customWidth="1"/>
    <col min="8218" max="8222" width="15" bestFit="1" customWidth="1"/>
    <col min="8223" max="8223" width="14" bestFit="1" customWidth="1"/>
    <col min="8224" max="8224" width="15" bestFit="1" customWidth="1"/>
    <col min="8225" max="8225" width="14" bestFit="1" customWidth="1"/>
    <col min="8438" max="8438" width="2.77734375" customWidth="1"/>
    <col min="8439" max="8439" width="1.21875" customWidth="1"/>
    <col min="8440" max="8442" width="0" hidden="1" customWidth="1"/>
    <col min="8443" max="8443" width="3.77734375" customWidth="1"/>
    <col min="8444" max="8444" width="30.77734375" customWidth="1"/>
    <col min="8445" max="8445" width="65.77734375" customWidth="1"/>
    <col min="8446" max="8447" width="10.77734375" customWidth="1"/>
    <col min="8448" max="8448" width="11.77734375" customWidth="1"/>
    <col min="8449" max="8453" width="10.77734375" customWidth="1"/>
    <col min="8454" max="8459" width="12.77734375" bestFit="1" customWidth="1"/>
    <col min="8460" max="8461" width="15.44140625" bestFit="1" customWidth="1"/>
    <col min="8462" max="8473" width="16" bestFit="1" customWidth="1"/>
    <col min="8474" max="8478" width="15" bestFit="1" customWidth="1"/>
    <col min="8479" max="8479" width="14" bestFit="1" customWidth="1"/>
    <col min="8480" max="8480" width="15" bestFit="1" customWidth="1"/>
    <col min="8481" max="8481" width="14" bestFit="1" customWidth="1"/>
    <col min="8694" max="8694" width="2.77734375" customWidth="1"/>
    <col min="8695" max="8695" width="1.21875" customWidth="1"/>
    <col min="8696" max="8698" width="0" hidden="1" customWidth="1"/>
    <col min="8699" max="8699" width="3.77734375" customWidth="1"/>
    <col min="8700" max="8700" width="30.77734375" customWidth="1"/>
    <col min="8701" max="8701" width="65.77734375" customWidth="1"/>
    <col min="8702" max="8703" width="10.77734375" customWidth="1"/>
    <col min="8704" max="8704" width="11.77734375" customWidth="1"/>
    <col min="8705" max="8709" width="10.77734375" customWidth="1"/>
    <col min="8710" max="8715" width="12.77734375" bestFit="1" customWidth="1"/>
    <col min="8716" max="8717" width="15.44140625" bestFit="1" customWidth="1"/>
    <col min="8718" max="8729" width="16" bestFit="1" customWidth="1"/>
    <col min="8730" max="8734" width="15" bestFit="1" customWidth="1"/>
    <col min="8735" max="8735" width="14" bestFit="1" customWidth="1"/>
    <col min="8736" max="8736" width="15" bestFit="1" customWidth="1"/>
    <col min="8737" max="8737" width="14" bestFit="1" customWidth="1"/>
    <col min="8950" max="8950" width="2.77734375" customWidth="1"/>
    <col min="8951" max="8951" width="1.21875" customWidth="1"/>
    <col min="8952" max="8954" width="0" hidden="1" customWidth="1"/>
    <col min="8955" max="8955" width="3.77734375" customWidth="1"/>
    <col min="8956" max="8956" width="30.77734375" customWidth="1"/>
    <col min="8957" max="8957" width="65.77734375" customWidth="1"/>
    <col min="8958" max="8959" width="10.77734375" customWidth="1"/>
    <col min="8960" max="8960" width="11.77734375" customWidth="1"/>
    <col min="8961" max="8965" width="10.77734375" customWidth="1"/>
    <col min="8966" max="8971" width="12.77734375" bestFit="1" customWidth="1"/>
    <col min="8972" max="8973" width="15.44140625" bestFit="1" customWidth="1"/>
    <col min="8974" max="8985" width="16" bestFit="1" customWidth="1"/>
    <col min="8986" max="8990" width="15" bestFit="1" customWidth="1"/>
    <col min="8991" max="8991" width="14" bestFit="1" customWidth="1"/>
    <col min="8992" max="8992" width="15" bestFit="1" customWidth="1"/>
    <col min="8993" max="8993" width="14" bestFit="1" customWidth="1"/>
    <col min="9206" max="9206" width="2.77734375" customWidth="1"/>
    <col min="9207" max="9207" width="1.21875" customWidth="1"/>
    <col min="9208" max="9210" width="0" hidden="1" customWidth="1"/>
    <col min="9211" max="9211" width="3.77734375" customWidth="1"/>
    <col min="9212" max="9212" width="30.77734375" customWidth="1"/>
    <col min="9213" max="9213" width="65.77734375" customWidth="1"/>
    <col min="9214" max="9215" width="10.77734375" customWidth="1"/>
    <col min="9216" max="9216" width="11.77734375" customWidth="1"/>
    <col min="9217" max="9221" width="10.77734375" customWidth="1"/>
    <col min="9222" max="9227" width="12.77734375" bestFit="1" customWidth="1"/>
    <col min="9228" max="9229" width="15.44140625" bestFit="1" customWidth="1"/>
    <col min="9230" max="9241" width="16" bestFit="1" customWidth="1"/>
    <col min="9242" max="9246" width="15" bestFit="1" customWidth="1"/>
    <col min="9247" max="9247" width="14" bestFit="1" customWidth="1"/>
    <col min="9248" max="9248" width="15" bestFit="1" customWidth="1"/>
    <col min="9249" max="9249" width="14" bestFit="1" customWidth="1"/>
    <col min="9462" max="9462" width="2.77734375" customWidth="1"/>
    <col min="9463" max="9463" width="1.21875" customWidth="1"/>
    <col min="9464" max="9466" width="0" hidden="1" customWidth="1"/>
    <col min="9467" max="9467" width="3.77734375" customWidth="1"/>
    <col min="9468" max="9468" width="30.77734375" customWidth="1"/>
    <col min="9469" max="9469" width="65.77734375" customWidth="1"/>
    <col min="9470" max="9471" width="10.77734375" customWidth="1"/>
    <col min="9472" max="9472" width="11.77734375" customWidth="1"/>
    <col min="9473" max="9477" width="10.77734375" customWidth="1"/>
    <col min="9478" max="9483" width="12.77734375" bestFit="1" customWidth="1"/>
    <col min="9484" max="9485" width="15.44140625" bestFit="1" customWidth="1"/>
    <col min="9486" max="9497" width="16" bestFit="1" customWidth="1"/>
    <col min="9498" max="9502" width="15" bestFit="1" customWidth="1"/>
    <col min="9503" max="9503" width="14" bestFit="1" customWidth="1"/>
    <col min="9504" max="9504" width="15" bestFit="1" customWidth="1"/>
    <col min="9505" max="9505" width="14" bestFit="1" customWidth="1"/>
    <col min="9718" max="9718" width="2.77734375" customWidth="1"/>
    <col min="9719" max="9719" width="1.21875" customWidth="1"/>
    <col min="9720" max="9722" width="0" hidden="1" customWidth="1"/>
    <col min="9723" max="9723" width="3.77734375" customWidth="1"/>
    <col min="9724" max="9724" width="30.77734375" customWidth="1"/>
    <col min="9725" max="9725" width="65.77734375" customWidth="1"/>
    <col min="9726" max="9727" width="10.77734375" customWidth="1"/>
    <col min="9728" max="9728" width="11.77734375" customWidth="1"/>
    <col min="9729" max="9733" width="10.77734375" customWidth="1"/>
    <col min="9734" max="9739" width="12.77734375" bestFit="1" customWidth="1"/>
    <col min="9740" max="9741" width="15.44140625" bestFit="1" customWidth="1"/>
    <col min="9742" max="9753" width="16" bestFit="1" customWidth="1"/>
    <col min="9754" max="9758" width="15" bestFit="1" customWidth="1"/>
    <col min="9759" max="9759" width="14" bestFit="1" customWidth="1"/>
    <col min="9760" max="9760" width="15" bestFit="1" customWidth="1"/>
    <col min="9761" max="9761" width="14" bestFit="1" customWidth="1"/>
    <col min="9974" max="9974" width="2.77734375" customWidth="1"/>
    <col min="9975" max="9975" width="1.21875" customWidth="1"/>
    <col min="9976" max="9978" width="0" hidden="1" customWidth="1"/>
    <col min="9979" max="9979" width="3.77734375" customWidth="1"/>
    <col min="9980" max="9980" width="30.77734375" customWidth="1"/>
    <col min="9981" max="9981" width="65.77734375" customWidth="1"/>
    <col min="9982" max="9983" width="10.77734375" customWidth="1"/>
    <col min="9984" max="9984" width="11.77734375" customWidth="1"/>
    <col min="9985" max="9989" width="10.77734375" customWidth="1"/>
    <col min="9990" max="9995" width="12.77734375" bestFit="1" customWidth="1"/>
    <col min="9996" max="9997" width="15.44140625" bestFit="1" customWidth="1"/>
    <col min="9998" max="10009" width="16" bestFit="1" customWidth="1"/>
    <col min="10010" max="10014" width="15" bestFit="1" customWidth="1"/>
    <col min="10015" max="10015" width="14" bestFit="1" customWidth="1"/>
    <col min="10016" max="10016" width="15" bestFit="1" customWidth="1"/>
    <col min="10017" max="10017" width="14" bestFit="1" customWidth="1"/>
    <col min="10230" max="10230" width="2.77734375" customWidth="1"/>
    <col min="10231" max="10231" width="1.21875" customWidth="1"/>
    <col min="10232" max="10234" width="0" hidden="1" customWidth="1"/>
    <col min="10235" max="10235" width="3.77734375" customWidth="1"/>
    <col min="10236" max="10236" width="30.77734375" customWidth="1"/>
    <col min="10237" max="10237" width="65.77734375" customWidth="1"/>
    <col min="10238" max="10239" width="10.77734375" customWidth="1"/>
    <col min="10240" max="10240" width="11.77734375" customWidth="1"/>
    <col min="10241" max="10245" width="10.77734375" customWidth="1"/>
    <col min="10246" max="10251" width="12.77734375" bestFit="1" customWidth="1"/>
    <col min="10252" max="10253" width="15.44140625" bestFit="1" customWidth="1"/>
    <col min="10254" max="10265" width="16" bestFit="1" customWidth="1"/>
    <col min="10266" max="10270" width="15" bestFit="1" customWidth="1"/>
    <col min="10271" max="10271" width="14" bestFit="1" customWidth="1"/>
    <col min="10272" max="10272" width="15" bestFit="1" customWidth="1"/>
    <col min="10273" max="10273" width="14" bestFit="1" customWidth="1"/>
    <col min="10486" max="10486" width="2.77734375" customWidth="1"/>
    <col min="10487" max="10487" width="1.21875" customWidth="1"/>
    <col min="10488" max="10490" width="0" hidden="1" customWidth="1"/>
    <col min="10491" max="10491" width="3.77734375" customWidth="1"/>
    <col min="10492" max="10492" width="30.77734375" customWidth="1"/>
    <col min="10493" max="10493" width="65.77734375" customWidth="1"/>
    <col min="10494" max="10495" width="10.77734375" customWidth="1"/>
    <col min="10496" max="10496" width="11.77734375" customWidth="1"/>
    <col min="10497" max="10501" width="10.77734375" customWidth="1"/>
    <col min="10502" max="10507" width="12.77734375" bestFit="1" customWidth="1"/>
    <col min="10508" max="10509" width="15.44140625" bestFit="1" customWidth="1"/>
    <col min="10510" max="10521" width="16" bestFit="1" customWidth="1"/>
    <col min="10522" max="10526" width="15" bestFit="1" customWidth="1"/>
    <col min="10527" max="10527" width="14" bestFit="1" customWidth="1"/>
    <col min="10528" max="10528" width="15" bestFit="1" customWidth="1"/>
    <col min="10529" max="10529" width="14" bestFit="1" customWidth="1"/>
    <col min="10742" max="10742" width="2.77734375" customWidth="1"/>
    <col min="10743" max="10743" width="1.21875" customWidth="1"/>
    <col min="10744" max="10746" width="0" hidden="1" customWidth="1"/>
    <col min="10747" max="10747" width="3.77734375" customWidth="1"/>
    <col min="10748" max="10748" width="30.77734375" customWidth="1"/>
    <col min="10749" max="10749" width="65.77734375" customWidth="1"/>
    <col min="10750" max="10751" width="10.77734375" customWidth="1"/>
    <col min="10752" max="10752" width="11.77734375" customWidth="1"/>
    <col min="10753" max="10757" width="10.77734375" customWidth="1"/>
    <col min="10758" max="10763" width="12.77734375" bestFit="1" customWidth="1"/>
    <col min="10764" max="10765" width="15.44140625" bestFit="1" customWidth="1"/>
    <col min="10766" max="10777" width="16" bestFit="1" customWidth="1"/>
    <col min="10778" max="10782" width="15" bestFit="1" customWidth="1"/>
    <col min="10783" max="10783" width="14" bestFit="1" customWidth="1"/>
    <col min="10784" max="10784" width="15" bestFit="1" customWidth="1"/>
    <col min="10785" max="10785" width="14" bestFit="1" customWidth="1"/>
    <col min="10998" max="10998" width="2.77734375" customWidth="1"/>
    <col min="10999" max="10999" width="1.21875" customWidth="1"/>
    <col min="11000" max="11002" width="0" hidden="1" customWidth="1"/>
    <col min="11003" max="11003" width="3.77734375" customWidth="1"/>
    <col min="11004" max="11004" width="30.77734375" customWidth="1"/>
    <col min="11005" max="11005" width="65.77734375" customWidth="1"/>
    <col min="11006" max="11007" width="10.77734375" customWidth="1"/>
    <col min="11008" max="11008" width="11.77734375" customWidth="1"/>
    <col min="11009" max="11013" width="10.77734375" customWidth="1"/>
    <col min="11014" max="11019" width="12.77734375" bestFit="1" customWidth="1"/>
    <col min="11020" max="11021" width="15.44140625" bestFit="1" customWidth="1"/>
    <col min="11022" max="11033" width="16" bestFit="1" customWidth="1"/>
    <col min="11034" max="11038" width="15" bestFit="1" customWidth="1"/>
    <col min="11039" max="11039" width="14" bestFit="1" customWidth="1"/>
    <col min="11040" max="11040" width="15" bestFit="1" customWidth="1"/>
    <col min="11041" max="11041" width="14" bestFit="1" customWidth="1"/>
    <col min="11254" max="11254" width="2.77734375" customWidth="1"/>
    <col min="11255" max="11255" width="1.21875" customWidth="1"/>
    <col min="11256" max="11258" width="0" hidden="1" customWidth="1"/>
    <col min="11259" max="11259" width="3.77734375" customWidth="1"/>
    <col min="11260" max="11260" width="30.77734375" customWidth="1"/>
    <col min="11261" max="11261" width="65.77734375" customWidth="1"/>
    <col min="11262" max="11263" width="10.77734375" customWidth="1"/>
    <col min="11264" max="11264" width="11.77734375" customWidth="1"/>
    <col min="11265" max="11269" width="10.77734375" customWidth="1"/>
    <col min="11270" max="11275" width="12.77734375" bestFit="1" customWidth="1"/>
    <col min="11276" max="11277" width="15.44140625" bestFit="1" customWidth="1"/>
    <col min="11278" max="11289" width="16" bestFit="1" customWidth="1"/>
    <col min="11290" max="11294" width="15" bestFit="1" customWidth="1"/>
    <col min="11295" max="11295" width="14" bestFit="1" customWidth="1"/>
    <col min="11296" max="11296" width="15" bestFit="1" customWidth="1"/>
    <col min="11297" max="11297" width="14" bestFit="1" customWidth="1"/>
    <col min="11510" max="11510" width="2.77734375" customWidth="1"/>
    <col min="11511" max="11511" width="1.21875" customWidth="1"/>
    <col min="11512" max="11514" width="0" hidden="1" customWidth="1"/>
    <col min="11515" max="11515" width="3.77734375" customWidth="1"/>
    <col min="11516" max="11516" width="30.77734375" customWidth="1"/>
    <col min="11517" max="11517" width="65.77734375" customWidth="1"/>
    <col min="11518" max="11519" width="10.77734375" customWidth="1"/>
    <col min="11520" max="11520" width="11.77734375" customWidth="1"/>
    <col min="11521" max="11525" width="10.77734375" customWidth="1"/>
    <col min="11526" max="11531" width="12.77734375" bestFit="1" customWidth="1"/>
    <col min="11532" max="11533" width="15.44140625" bestFit="1" customWidth="1"/>
    <col min="11534" max="11545" width="16" bestFit="1" customWidth="1"/>
    <col min="11546" max="11550" width="15" bestFit="1" customWidth="1"/>
    <col min="11551" max="11551" width="14" bestFit="1" customWidth="1"/>
    <col min="11552" max="11552" width="15" bestFit="1" customWidth="1"/>
    <col min="11553" max="11553" width="14" bestFit="1" customWidth="1"/>
    <col min="11766" max="11766" width="2.77734375" customWidth="1"/>
    <col min="11767" max="11767" width="1.21875" customWidth="1"/>
    <col min="11768" max="11770" width="0" hidden="1" customWidth="1"/>
    <col min="11771" max="11771" width="3.77734375" customWidth="1"/>
    <col min="11772" max="11772" width="30.77734375" customWidth="1"/>
    <col min="11773" max="11773" width="65.77734375" customWidth="1"/>
    <col min="11774" max="11775" width="10.77734375" customWidth="1"/>
    <col min="11776" max="11776" width="11.77734375" customWidth="1"/>
    <col min="11777" max="11781" width="10.77734375" customWidth="1"/>
    <col min="11782" max="11787" width="12.77734375" bestFit="1" customWidth="1"/>
    <col min="11788" max="11789" width="15.44140625" bestFit="1" customWidth="1"/>
    <col min="11790" max="11801" width="16" bestFit="1" customWidth="1"/>
    <col min="11802" max="11806" width="15" bestFit="1" customWidth="1"/>
    <col min="11807" max="11807" width="14" bestFit="1" customWidth="1"/>
    <col min="11808" max="11808" width="15" bestFit="1" customWidth="1"/>
    <col min="11809" max="11809" width="14" bestFit="1" customWidth="1"/>
    <col min="12022" max="12022" width="2.77734375" customWidth="1"/>
    <col min="12023" max="12023" width="1.21875" customWidth="1"/>
    <col min="12024" max="12026" width="0" hidden="1" customWidth="1"/>
    <col min="12027" max="12027" width="3.77734375" customWidth="1"/>
    <col min="12028" max="12028" width="30.77734375" customWidth="1"/>
    <col min="12029" max="12029" width="65.77734375" customWidth="1"/>
    <col min="12030" max="12031" width="10.77734375" customWidth="1"/>
    <col min="12032" max="12032" width="11.77734375" customWidth="1"/>
    <col min="12033" max="12037" width="10.77734375" customWidth="1"/>
    <col min="12038" max="12043" width="12.77734375" bestFit="1" customWidth="1"/>
    <col min="12044" max="12045" width="15.44140625" bestFit="1" customWidth="1"/>
    <col min="12046" max="12057" width="16" bestFit="1" customWidth="1"/>
    <col min="12058" max="12062" width="15" bestFit="1" customWidth="1"/>
    <col min="12063" max="12063" width="14" bestFit="1" customWidth="1"/>
    <col min="12064" max="12064" width="15" bestFit="1" customWidth="1"/>
    <col min="12065" max="12065" width="14" bestFit="1" customWidth="1"/>
    <col min="12278" max="12278" width="2.77734375" customWidth="1"/>
    <col min="12279" max="12279" width="1.21875" customWidth="1"/>
    <col min="12280" max="12282" width="0" hidden="1" customWidth="1"/>
    <col min="12283" max="12283" width="3.77734375" customWidth="1"/>
    <col min="12284" max="12284" width="30.77734375" customWidth="1"/>
    <col min="12285" max="12285" width="65.77734375" customWidth="1"/>
    <col min="12286" max="12287" width="10.77734375" customWidth="1"/>
    <col min="12288" max="12288" width="11.77734375" customWidth="1"/>
    <col min="12289" max="12293" width="10.77734375" customWidth="1"/>
    <col min="12294" max="12299" width="12.77734375" bestFit="1" customWidth="1"/>
    <col min="12300" max="12301" width="15.44140625" bestFit="1" customWidth="1"/>
    <col min="12302" max="12313" width="16" bestFit="1" customWidth="1"/>
    <col min="12314" max="12318" width="15" bestFit="1" customWidth="1"/>
    <col min="12319" max="12319" width="14" bestFit="1" customWidth="1"/>
    <col min="12320" max="12320" width="15" bestFit="1" customWidth="1"/>
    <col min="12321" max="12321" width="14" bestFit="1" customWidth="1"/>
    <col min="12534" max="12534" width="2.77734375" customWidth="1"/>
    <col min="12535" max="12535" width="1.21875" customWidth="1"/>
    <col min="12536" max="12538" width="0" hidden="1" customWidth="1"/>
    <col min="12539" max="12539" width="3.77734375" customWidth="1"/>
    <col min="12540" max="12540" width="30.77734375" customWidth="1"/>
    <col min="12541" max="12541" width="65.77734375" customWidth="1"/>
    <col min="12542" max="12543" width="10.77734375" customWidth="1"/>
    <col min="12544" max="12544" width="11.77734375" customWidth="1"/>
    <col min="12545" max="12549" width="10.77734375" customWidth="1"/>
    <col min="12550" max="12555" width="12.77734375" bestFit="1" customWidth="1"/>
    <col min="12556" max="12557" width="15.44140625" bestFit="1" customWidth="1"/>
    <col min="12558" max="12569" width="16" bestFit="1" customWidth="1"/>
    <col min="12570" max="12574" width="15" bestFit="1" customWidth="1"/>
    <col min="12575" max="12575" width="14" bestFit="1" customWidth="1"/>
    <col min="12576" max="12576" width="15" bestFit="1" customWidth="1"/>
    <col min="12577" max="12577" width="14" bestFit="1" customWidth="1"/>
    <col min="12790" max="12790" width="2.77734375" customWidth="1"/>
    <col min="12791" max="12791" width="1.21875" customWidth="1"/>
    <col min="12792" max="12794" width="0" hidden="1" customWidth="1"/>
    <col min="12795" max="12795" width="3.77734375" customWidth="1"/>
    <col min="12796" max="12796" width="30.77734375" customWidth="1"/>
    <col min="12797" max="12797" width="65.77734375" customWidth="1"/>
    <col min="12798" max="12799" width="10.77734375" customWidth="1"/>
    <col min="12800" max="12800" width="11.77734375" customWidth="1"/>
    <col min="12801" max="12805" width="10.77734375" customWidth="1"/>
    <col min="12806" max="12811" width="12.77734375" bestFit="1" customWidth="1"/>
    <col min="12812" max="12813" width="15.44140625" bestFit="1" customWidth="1"/>
    <col min="12814" max="12825" width="16" bestFit="1" customWidth="1"/>
    <col min="12826" max="12830" width="15" bestFit="1" customWidth="1"/>
    <col min="12831" max="12831" width="14" bestFit="1" customWidth="1"/>
    <col min="12832" max="12832" width="15" bestFit="1" customWidth="1"/>
    <col min="12833" max="12833" width="14" bestFit="1" customWidth="1"/>
    <col min="13046" max="13046" width="2.77734375" customWidth="1"/>
    <col min="13047" max="13047" width="1.21875" customWidth="1"/>
    <col min="13048" max="13050" width="0" hidden="1" customWidth="1"/>
    <col min="13051" max="13051" width="3.77734375" customWidth="1"/>
    <col min="13052" max="13052" width="30.77734375" customWidth="1"/>
    <col min="13053" max="13053" width="65.77734375" customWidth="1"/>
    <col min="13054" max="13055" width="10.77734375" customWidth="1"/>
    <col min="13056" max="13056" width="11.77734375" customWidth="1"/>
    <col min="13057" max="13061" width="10.77734375" customWidth="1"/>
    <col min="13062" max="13067" width="12.77734375" bestFit="1" customWidth="1"/>
    <col min="13068" max="13069" width="15.44140625" bestFit="1" customWidth="1"/>
    <col min="13070" max="13081" width="16" bestFit="1" customWidth="1"/>
    <col min="13082" max="13086" width="15" bestFit="1" customWidth="1"/>
    <col min="13087" max="13087" width="14" bestFit="1" customWidth="1"/>
    <col min="13088" max="13088" width="15" bestFit="1" customWidth="1"/>
    <col min="13089" max="13089" width="14" bestFit="1" customWidth="1"/>
    <col min="13302" max="13302" width="2.77734375" customWidth="1"/>
    <col min="13303" max="13303" width="1.21875" customWidth="1"/>
    <col min="13304" max="13306" width="0" hidden="1" customWidth="1"/>
    <col min="13307" max="13307" width="3.77734375" customWidth="1"/>
    <col min="13308" max="13308" width="30.77734375" customWidth="1"/>
    <col min="13309" max="13309" width="65.77734375" customWidth="1"/>
    <col min="13310" max="13311" width="10.77734375" customWidth="1"/>
    <col min="13312" max="13312" width="11.77734375" customWidth="1"/>
    <col min="13313" max="13317" width="10.77734375" customWidth="1"/>
    <col min="13318" max="13323" width="12.77734375" bestFit="1" customWidth="1"/>
    <col min="13324" max="13325" width="15.44140625" bestFit="1" customWidth="1"/>
    <col min="13326" max="13337" width="16" bestFit="1" customWidth="1"/>
    <col min="13338" max="13342" width="15" bestFit="1" customWidth="1"/>
    <col min="13343" max="13343" width="14" bestFit="1" customWidth="1"/>
    <col min="13344" max="13344" width="15" bestFit="1" customWidth="1"/>
    <col min="13345" max="13345" width="14" bestFit="1" customWidth="1"/>
    <col min="13558" max="13558" width="2.77734375" customWidth="1"/>
    <col min="13559" max="13559" width="1.21875" customWidth="1"/>
    <col min="13560" max="13562" width="0" hidden="1" customWidth="1"/>
    <col min="13563" max="13563" width="3.77734375" customWidth="1"/>
    <col min="13564" max="13564" width="30.77734375" customWidth="1"/>
    <col min="13565" max="13565" width="65.77734375" customWidth="1"/>
    <col min="13566" max="13567" width="10.77734375" customWidth="1"/>
    <col min="13568" max="13568" width="11.77734375" customWidth="1"/>
    <col min="13569" max="13573" width="10.77734375" customWidth="1"/>
    <col min="13574" max="13579" width="12.77734375" bestFit="1" customWidth="1"/>
    <col min="13580" max="13581" width="15.44140625" bestFit="1" customWidth="1"/>
    <col min="13582" max="13593" width="16" bestFit="1" customWidth="1"/>
    <col min="13594" max="13598" width="15" bestFit="1" customWidth="1"/>
    <col min="13599" max="13599" width="14" bestFit="1" customWidth="1"/>
    <col min="13600" max="13600" width="15" bestFit="1" customWidth="1"/>
    <col min="13601" max="13601" width="14" bestFit="1" customWidth="1"/>
    <col min="13814" max="13814" width="2.77734375" customWidth="1"/>
    <col min="13815" max="13815" width="1.21875" customWidth="1"/>
    <col min="13816" max="13818" width="0" hidden="1" customWidth="1"/>
    <col min="13819" max="13819" width="3.77734375" customWidth="1"/>
    <col min="13820" max="13820" width="30.77734375" customWidth="1"/>
    <col min="13821" max="13821" width="65.77734375" customWidth="1"/>
    <col min="13822" max="13823" width="10.77734375" customWidth="1"/>
    <col min="13824" max="13824" width="11.77734375" customWidth="1"/>
    <col min="13825" max="13829" width="10.77734375" customWidth="1"/>
    <col min="13830" max="13835" width="12.77734375" bestFit="1" customWidth="1"/>
    <col min="13836" max="13837" width="15.44140625" bestFit="1" customWidth="1"/>
    <col min="13838" max="13849" width="16" bestFit="1" customWidth="1"/>
    <col min="13850" max="13854" width="15" bestFit="1" customWidth="1"/>
    <col min="13855" max="13855" width="14" bestFit="1" customWidth="1"/>
    <col min="13856" max="13856" width="15" bestFit="1" customWidth="1"/>
    <col min="13857" max="13857" width="14" bestFit="1" customWidth="1"/>
    <col min="14070" max="14070" width="2.77734375" customWidth="1"/>
    <col min="14071" max="14071" width="1.21875" customWidth="1"/>
    <col min="14072" max="14074" width="0" hidden="1" customWidth="1"/>
    <col min="14075" max="14075" width="3.77734375" customWidth="1"/>
    <col min="14076" max="14076" width="30.77734375" customWidth="1"/>
    <col min="14077" max="14077" width="65.77734375" customWidth="1"/>
    <col min="14078" max="14079" width="10.77734375" customWidth="1"/>
    <col min="14080" max="14080" width="11.77734375" customWidth="1"/>
    <col min="14081" max="14085" width="10.77734375" customWidth="1"/>
    <col min="14086" max="14091" width="12.77734375" bestFit="1" customWidth="1"/>
    <col min="14092" max="14093" width="15.44140625" bestFit="1" customWidth="1"/>
    <col min="14094" max="14105" width="16" bestFit="1" customWidth="1"/>
    <col min="14106" max="14110" width="15" bestFit="1" customWidth="1"/>
    <col min="14111" max="14111" width="14" bestFit="1" customWidth="1"/>
    <col min="14112" max="14112" width="15" bestFit="1" customWidth="1"/>
    <col min="14113" max="14113" width="14" bestFit="1" customWidth="1"/>
    <col min="14326" max="14326" width="2.77734375" customWidth="1"/>
    <col min="14327" max="14327" width="1.21875" customWidth="1"/>
    <col min="14328" max="14330" width="0" hidden="1" customWidth="1"/>
    <col min="14331" max="14331" width="3.77734375" customWidth="1"/>
    <col min="14332" max="14332" width="30.77734375" customWidth="1"/>
    <col min="14333" max="14333" width="65.77734375" customWidth="1"/>
    <col min="14334" max="14335" width="10.77734375" customWidth="1"/>
    <col min="14336" max="14336" width="11.77734375" customWidth="1"/>
    <col min="14337" max="14341" width="10.77734375" customWidth="1"/>
    <col min="14342" max="14347" width="12.77734375" bestFit="1" customWidth="1"/>
    <col min="14348" max="14349" width="15.44140625" bestFit="1" customWidth="1"/>
    <col min="14350" max="14361" width="16" bestFit="1" customWidth="1"/>
    <col min="14362" max="14366" width="15" bestFit="1" customWidth="1"/>
    <col min="14367" max="14367" width="14" bestFit="1" customWidth="1"/>
    <col min="14368" max="14368" width="15" bestFit="1" customWidth="1"/>
    <col min="14369" max="14369" width="14" bestFit="1" customWidth="1"/>
    <col min="14582" max="14582" width="2.77734375" customWidth="1"/>
    <col min="14583" max="14583" width="1.21875" customWidth="1"/>
    <col min="14584" max="14586" width="0" hidden="1" customWidth="1"/>
    <col min="14587" max="14587" width="3.77734375" customWidth="1"/>
    <col min="14588" max="14588" width="30.77734375" customWidth="1"/>
    <col min="14589" max="14589" width="65.77734375" customWidth="1"/>
    <col min="14590" max="14591" width="10.77734375" customWidth="1"/>
    <col min="14592" max="14592" width="11.77734375" customWidth="1"/>
    <col min="14593" max="14597" width="10.77734375" customWidth="1"/>
    <col min="14598" max="14603" width="12.77734375" bestFit="1" customWidth="1"/>
    <col min="14604" max="14605" width="15.44140625" bestFit="1" customWidth="1"/>
    <col min="14606" max="14617" width="16" bestFit="1" customWidth="1"/>
    <col min="14618" max="14622" width="15" bestFit="1" customWidth="1"/>
    <col min="14623" max="14623" width="14" bestFit="1" customWidth="1"/>
    <col min="14624" max="14624" width="15" bestFit="1" customWidth="1"/>
    <col min="14625" max="14625" width="14" bestFit="1" customWidth="1"/>
    <col min="14838" max="14838" width="2.77734375" customWidth="1"/>
    <col min="14839" max="14839" width="1.21875" customWidth="1"/>
    <col min="14840" max="14842" width="0" hidden="1" customWidth="1"/>
    <col min="14843" max="14843" width="3.77734375" customWidth="1"/>
    <col min="14844" max="14844" width="30.77734375" customWidth="1"/>
    <col min="14845" max="14845" width="65.77734375" customWidth="1"/>
    <col min="14846" max="14847" width="10.77734375" customWidth="1"/>
    <col min="14848" max="14848" width="11.77734375" customWidth="1"/>
    <col min="14849" max="14853" width="10.77734375" customWidth="1"/>
    <col min="14854" max="14859" width="12.77734375" bestFit="1" customWidth="1"/>
    <col min="14860" max="14861" width="15.44140625" bestFit="1" customWidth="1"/>
    <col min="14862" max="14873" width="16" bestFit="1" customWidth="1"/>
    <col min="14874" max="14878" width="15" bestFit="1" customWidth="1"/>
    <col min="14879" max="14879" width="14" bestFit="1" customWidth="1"/>
    <col min="14880" max="14880" width="15" bestFit="1" customWidth="1"/>
    <col min="14881" max="14881" width="14" bestFit="1" customWidth="1"/>
    <col min="15094" max="15094" width="2.77734375" customWidth="1"/>
    <col min="15095" max="15095" width="1.21875" customWidth="1"/>
    <col min="15096" max="15098" width="0" hidden="1" customWidth="1"/>
    <col min="15099" max="15099" width="3.77734375" customWidth="1"/>
    <col min="15100" max="15100" width="30.77734375" customWidth="1"/>
    <col min="15101" max="15101" width="65.77734375" customWidth="1"/>
    <col min="15102" max="15103" width="10.77734375" customWidth="1"/>
    <col min="15104" max="15104" width="11.77734375" customWidth="1"/>
    <col min="15105" max="15109" width="10.77734375" customWidth="1"/>
    <col min="15110" max="15115" width="12.77734375" bestFit="1" customWidth="1"/>
    <col min="15116" max="15117" width="15.44140625" bestFit="1" customWidth="1"/>
    <col min="15118" max="15129" width="16" bestFit="1" customWidth="1"/>
    <col min="15130" max="15134" width="15" bestFit="1" customWidth="1"/>
    <col min="15135" max="15135" width="14" bestFit="1" customWidth="1"/>
    <col min="15136" max="15136" width="15" bestFit="1" customWidth="1"/>
    <col min="15137" max="15137" width="14" bestFit="1" customWidth="1"/>
    <col min="15350" max="15350" width="2.77734375" customWidth="1"/>
    <col min="15351" max="15351" width="1.21875" customWidth="1"/>
    <col min="15352" max="15354" width="0" hidden="1" customWidth="1"/>
    <col min="15355" max="15355" width="3.77734375" customWidth="1"/>
    <col min="15356" max="15356" width="30.77734375" customWidth="1"/>
    <col min="15357" max="15357" width="65.77734375" customWidth="1"/>
    <col min="15358" max="15359" width="10.77734375" customWidth="1"/>
    <col min="15360" max="15360" width="11.77734375" customWidth="1"/>
    <col min="15361" max="15365" width="10.77734375" customWidth="1"/>
    <col min="15366" max="15371" width="12.77734375" bestFit="1" customWidth="1"/>
    <col min="15372" max="15373" width="15.44140625" bestFit="1" customWidth="1"/>
    <col min="15374" max="15385" width="16" bestFit="1" customWidth="1"/>
    <col min="15386" max="15390" width="15" bestFit="1" customWidth="1"/>
    <col min="15391" max="15391" width="14" bestFit="1" customWidth="1"/>
    <col min="15392" max="15392" width="15" bestFit="1" customWidth="1"/>
    <col min="15393" max="15393" width="14" bestFit="1" customWidth="1"/>
    <col min="15606" max="15606" width="2.77734375" customWidth="1"/>
    <col min="15607" max="15607" width="1.21875" customWidth="1"/>
    <col min="15608" max="15610" width="0" hidden="1" customWidth="1"/>
    <col min="15611" max="15611" width="3.77734375" customWidth="1"/>
    <col min="15612" max="15612" width="30.77734375" customWidth="1"/>
    <col min="15613" max="15613" width="65.77734375" customWidth="1"/>
    <col min="15614" max="15615" width="10.77734375" customWidth="1"/>
    <col min="15616" max="15616" width="11.77734375" customWidth="1"/>
    <col min="15617" max="15621" width="10.77734375" customWidth="1"/>
    <col min="15622" max="15627" width="12.77734375" bestFit="1" customWidth="1"/>
    <col min="15628" max="15629" width="15.44140625" bestFit="1" customWidth="1"/>
    <col min="15630" max="15641" width="16" bestFit="1" customWidth="1"/>
    <col min="15642" max="15646" width="15" bestFit="1" customWidth="1"/>
    <col min="15647" max="15647" width="14" bestFit="1" customWidth="1"/>
    <col min="15648" max="15648" width="15" bestFit="1" customWidth="1"/>
    <col min="15649" max="15649" width="14" bestFit="1" customWidth="1"/>
    <col min="15862" max="15862" width="2.77734375" customWidth="1"/>
    <col min="15863" max="15863" width="1.21875" customWidth="1"/>
    <col min="15864" max="15866" width="0" hidden="1" customWidth="1"/>
    <col min="15867" max="15867" width="3.77734375" customWidth="1"/>
    <col min="15868" max="15868" width="30.77734375" customWidth="1"/>
    <col min="15869" max="15869" width="65.77734375" customWidth="1"/>
    <col min="15870" max="15871" width="10.77734375" customWidth="1"/>
    <col min="15872" max="15872" width="11.77734375" customWidth="1"/>
    <col min="15873" max="15877" width="10.77734375" customWidth="1"/>
    <col min="15878" max="15883" width="12.77734375" bestFit="1" customWidth="1"/>
    <col min="15884" max="15885" width="15.44140625" bestFit="1" customWidth="1"/>
    <col min="15886" max="15897" width="16" bestFit="1" customWidth="1"/>
    <col min="15898" max="15902" width="15" bestFit="1" customWidth="1"/>
    <col min="15903" max="15903" width="14" bestFit="1" customWidth="1"/>
    <col min="15904" max="15904" width="15" bestFit="1" customWidth="1"/>
    <col min="15905" max="15905" width="14" bestFit="1" customWidth="1"/>
    <col min="16118" max="16118" width="2.77734375" customWidth="1"/>
    <col min="16119" max="16119" width="1.21875" customWidth="1"/>
    <col min="16120" max="16122" width="0" hidden="1" customWidth="1"/>
    <col min="16123" max="16123" width="3.77734375" customWidth="1"/>
    <col min="16124" max="16124" width="30.77734375" customWidth="1"/>
    <col min="16125" max="16125" width="65.77734375" customWidth="1"/>
    <col min="16126" max="16127" width="10.77734375" customWidth="1"/>
    <col min="16128" max="16128" width="11.77734375" customWidth="1"/>
    <col min="16129" max="16133" width="10.77734375" customWidth="1"/>
    <col min="16134" max="16139" width="12.77734375" bestFit="1" customWidth="1"/>
    <col min="16140" max="16141" width="15.44140625" bestFit="1" customWidth="1"/>
    <col min="16142" max="16153" width="16" bestFit="1" customWidth="1"/>
    <col min="16154" max="16158" width="15" bestFit="1" customWidth="1"/>
    <col min="16159" max="16159" width="14" bestFit="1" customWidth="1"/>
    <col min="16160" max="16160" width="15" bestFit="1" customWidth="1"/>
    <col min="16161" max="16161" width="14" bestFit="1" customWidth="1"/>
  </cols>
  <sheetData>
    <row r="1" spans="1:11" ht="18.600000000000001" customHeight="1">
      <c r="K1" s="184" t="s">
        <v>336</v>
      </c>
    </row>
    <row r="2" spans="1:11" ht="18">
      <c r="A2" s="192" t="s">
        <v>335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18" customHeight="1">
      <c r="A3" s="192" t="s">
        <v>334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5" spans="1:11" ht="43.5" customHeight="1">
      <c r="A5" s="185" t="s">
        <v>337</v>
      </c>
      <c r="B5" s="185" t="s">
        <v>338</v>
      </c>
      <c r="C5" s="171" t="s">
        <v>1</v>
      </c>
      <c r="D5" s="171" t="s">
        <v>301</v>
      </c>
      <c r="E5" s="171" t="s">
        <v>3</v>
      </c>
      <c r="F5" s="171" t="s">
        <v>4</v>
      </c>
      <c r="G5" s="171" t="s">
        <v>5</v>
      </c>
      <c r="H5" s="182" t="s">
        <v>331</v>
      </c>
      <c r="I5" s="183" t="s">
        <v>267</v>
      </c>
      <c r="J5" s="183" t="s">
        <v>332</v>
      </c>
      <c r="K5" s="183" t="s">
        <v>333</v>
      </c>
    </row>
    <row r="6" spans="1:11" hidden="1">
      <c r="A6" s="1" t="s">
        <v>9</v>
      </c>
      <c r="B6" s="1" t="s">
        <v>0</v>
      </c>
      <c r="C6" s="4" t="s">
        <v>10</v>
      </c>
      <c r="D6" s="4" t="s">
        <v>10</v>
      </c>
      <c r="E6" s="4" t="s">
        <v>10</v>
      </c>
      <c r="F6" s="4" t="s">
        <v>10</v>
      </c>
      <c r="G6" s="4" t="s">
        <v>10</v>
      </c>
      <c r="H6" s="118"/>
      <c r="I6" s="4"/>
      <c r="J6" s="4"/>
      <c r="K6" s="4"/>
    </row>
    <row r="7" spans="1:11" s="12" customFormat="1">
      <c r="A7" s="9" t="s">
        <v>11</v>
      </c>
      <c r="B7" s="10" t="s">
        <v>12</v>
      </c>
      <c r="C7" s="11">
        <f>SUM(C8)</f>
        <v>1204716179</v>
      </c>
      <c r="D7" s="11">
        <f t="shared" ref="D7:K7" si="0">SUM(D8)</f>
        <v>1211500179</v>
      </c>
      <c r="E7" s="11">
        <f t="shared" si="0"/>
        <v>474362316.08999997</v>
      </c>
      <c r="F7" s="11">
        <f t="shared" si="0"/>
        <v>1161300739</v>
      </c>
      <c r="G7" s="11">
        <f t="shared" si="0"/>
        <v>1141434841</v>
      </c>
      <c r="H7" s="11">
        <f t="shared" si="0"/>
        <v>1288827450</v>
      </c>
      <c r="I7" s="11">
        <f t="shared" si="0"/>
        <v>79864271</v>
      </c>
      <c r="J7" s="11">
        <f t="shared" si="0"/>
        <v>1247734950</v>
      </c>
      <c r="K7" s="11">
        <f t="shared" si="0"/>
        <v>1248985750</v>
      </c>
    </row>
    <row r="8" spans="1:11" s="8" customFormat="1">
      <c r="A8" s="13" t="s">
        <v>13</v>
      </c>
      <c r="B8" s="14" t="s">
        <v>14</v>
      </c>
      <c r="C8" s="15">
        <f>SUM(C9,C14,C59,C82,C89,C121,C134,C138,C157,C166,C182,C189,C203,C207,C233,C240,C252,C263,C301,C325,C351,C359,C374,C378,C397,C410,C422,C432,C444)</f>
        <v>1204716179</v>
      </c>
      <c r="D8" s="15">
        <f>SUM(D9,D14,D59,D82,D89,D121,D134,D138,D157,D166,D182,D189,D203,D207,D233,D240,D252,D263,D272,D301,D325,D351,D359,D374,D378,D397,D410,D422,D432,D444)</f>
        <v>1211500179</v>
      </c>
      <c r="E8" s="15">
        <f t="shared" ref="E8:F8" si="1">SUM(E9,E14,E59,E82,E89,E121,E134,E138,E157,E166,E182,E189,E203,E207,E233,E240,E252,E263,E272,E301,E325,E351,E359,E374,E378,E397,E410,E422,E432,E444)</f>
        <v>474362316.08999997</v>
      </c>
      <c r="F8" s="15">
        <f t="shared" si="1"/>
        <v>1161300739</v>
      </c>
      <c r="G8" s="15">
        <f>SUM(G9,G14,G59,G82,G89,G121,G134,G138,G157,G166,G182,G189,G203,G207,G233,G240,G252,G263,G301,G325,G351,G359,G374,G378,G397,G410,G422,G432,G444)</f>
        <v>1141434841</v>
      </c>
      <c r="H8" s="15">
        <f t="shared" ref="H8:K8" si="2">SUM(H9,H14,H59,H82,H89,H121,H134,H138,H157,H166,H182,H189,H203,H207,H233,H240,H252,H263,H272,H301,H325,H351,H359,H374,H378,H397,H410,H422,H432,H444)</f>
        <v>1288827450</v>
      </c>
      <c r="I8" s="15">
        <f t="shared" si="2"/>
        <v>79864271</v>
      </c>
      <c r="J8" s="15">
        <f t="shared" si="2"/>
        <v>1247734950</v>
      </c>
      <c r="K8" s="15">
        <f t="shared" si="2"/>
        <v>1248985750</v>
      </c>
    </row>
    <row r="9" spans="1:11" s="19" customFormat="1" ht="14.25" customHeight="1">
      <c r="A9" s="16" t="s">
        <v>15</v>
      </c>
      <c r="B9" s="17" t="s">
        <v>16</v>
      </c>
      <c r="C9" s="18">
        <f t="shared" ref="C9:G9" si="3">SUM(C10)</f>
        <v>2000000</v>
      </c>
      <c r="D9" s="18">
        <f t="shared" si="3"/>
        <v>2000000</v>
      </c>
      <c r="E9" s="18">
        <f t="shared" si="3"/>
        <v>1000000</v>
      </c>
      <c r="F9" s="18">
        <f t="shared" si="3"/>
        <v>2000000</v>
      </c>
      <c r="G9" s="18">
        <f t="shared" si="3"/>
        <v>2000000</v>
      </c>
      <c r="H9" s="18">
        <f>SUM(H10)</f>
        <v>2500000</v>
      </c>
      <c r="I9" s="18">
        <f t="shared" ref="I9:K9" si="4">SUM(I10)</f>
        <v>500000</v>
      </c>
      <c r="J9" s="18">
        <f t="shared" si="4"/>
        <v>2500000</v>
      </c>
      <c r="K9" s="18">
        <f t="shared" si="4"/>
        <v>2500000</v>
      </c>
    </row>
    <row r="10" spans="1:11" s="8" customFormat="1">
      <c r="A10" s="20" t="s">
        <v>17</v>
      </c>
      <c r="B10" s="21" t="s">
        <v>18</v>
      </c>
      <c r="C10" s="22">
        <f t="shared" ref="C10:G10" si="5">SUM(C11)</f>
        <v>2000000</v>
      </c>
      <c r="D10" s="22">
        <f t="shared" si="5"/>
        <v>2000000</v>
      </c>
      <c r="E10" s="22">
        <f t="shared" si="5"/>
        <v>1000000</v>
      </c>
      <c r="F10" s="22">
        <f t="shared" si="5"/>
        <v>2000000</v>
      </c>
      <c r="G10" s="22">
        <f t="shared" si="5"/>
        <v>2000000</v>
      </c>
      <c r="H10" s="22">
        <f>SUM(H11)</f>
        <v>2500000</v>
      </c>
      <c r="I10" s="22">
        <f t="shared" ref="I10:K10" si="6">SUM(I11)</f>
        <v>500000</v>
      </c>
      <c r="J10" s="22">
        <f t="shared" si="6"/>
        <v>2500000</v>
      </c>
      <c r="K10" s="22">
        <f t="shared" si="6"/>
        <v>2500000</v>
      </c>
    </row>
    <row r="11" spans="1:11" s="26" customFormat="1" ht="20.399999999999999">
      <c r="A11" s="23" t="s">
        <v>19</v>
      </c>
      <c r="B11" s="24" t="s">
        <v>20</v>
      </c>
      <c r="C11" s="25">
        <f t="shared" ref="C11:G11" si="7">SUM(C12,C13)</f>
        <v>2000000</v>
      </c>
      <c r="D11" s="25">
        <f t="shared" si="7"/>
        <v>2000000</v>
      </c>
      <c r="E11" s="25">
        <f t="shared" si="7"/>
        <v>1000000</v>
      </c>
      <c r="F11" s="25">
        <f t="shared" si="7"/>
        <v>2000000</v>
      </c>
      <c r="G11" s="25">
        <f t="shared" si="7"/>
        <v>2000000</v>
      </c>
      <c r="H11" s="25">
        <f>SUM(H12,H13)</f>
        <v>2500000</v>
      </c>
      <c r="I11" s="25">
        <f t="shared" ref="I11:K11" si="8">SUM(I12,I13)</f>
        <v>500000</v>
      </c>
      <c r="J11" s="25">
        <f t="shared" si="8"/>
        <v>2500000</v>
      </c>
      <c r="K11" s="25">
        <f t="shared" si="8"/>
        <v>2500000</v>
      </c>
    </row>
    <row r="12" spans="1:11" s="8" customFormat="1">
      <c r="A12" s="27" t="s">
        <v>21</v>
      </c>
      <c r="B12" s="27" t="s">
        <v>22</v>
      </c>
      <c r="C12" s="28">
        <v>1000000</v>
      </c>
      <c r="D12" s="28">
        <v>1000000</v>
      </c>
      <c r="E12" s="29">
        <v>500000</v>
      </c>
      <c r="F12" s="28">
        <v>1000000</v>
      </c>
      <c r="G12" s="28">
        <v>1000000</v>
      </c>
      <c r="H12" s="28">
        <v>1500000</v>
      </c>
      <c r="I12" s="28">
        <f>H12-D12</f>
        <v>500000</v>
      </c>
      <c r="J12" s="28">
        <v>1500000</v>
      </c>
      <c r="K12" s="28">
        <v>1500000</v>
      </c>
    </row>
    <row r="13" spans="1:11" s="8" customFormat="1">
      <c r="A13" s="27" t="s">
        <v>23</v>
      </c>
      <c r="B13" s="27" t="s">
        <v>24</v>
      </c>
      <c r="C13" s="28">
        <v>1000000</v>
      </c>
      <c r="D13" s="28">
        <v>1000000</v>
      </c>
      <c r="E13" s="29">
        <v>500000</v>
      </c>
      <c r="F13" s="28">
        <v>1000000</v>
      </c>
      <c r="G13" s="28">
        <v>1000000</v>
      </c>
      <c r="H13" s="28">
        <v>1000000</v>
      </c>
      <c r="I13" s="28">
        <f>H13-D13</f>
        <v>0</v>
      </c>
      <c r="J13" s="28">
        <v>1000000</v>
      </c>
      <c r="K13" s="28">
        <v>1000000</v>
      </c>
    </row>
    <row r="14" spans="1:11" s="19" customFormat="1" ht="15.75" customHeight="1">
      <c r="A14" s="16" t="s">
        <v>25</v>
      </c>
      <c r="B14" s="17" t="s">
        <v>26</v>
      </c>
      <c r="C14" s="18">
        <f t="shared" ref="C14:G14" si="9">SUM(C15)</f>
        <v>1000977179</v>
      </c>
      <c r="D14" s="18">
        <f t="shared" si="9"/>
        <v>1077597179</v>
      </c>
      <c r="E14" s="18">
        <f t="shared" si="9"/>
        <v>434668179.88999999</v>
      </c>
      <c r="F14" s="18">
        <f t="shared" si="9"/>
        <v>1014081239</v>
      </c>
      <c r="G14" s="18">
        <f t="shared" si="9"/>
        <v>1013990841</v>
      </c>
      <c r="H14" s="18">
        <f>SUM(H15)</f>
        <v>1097979300</v>
      </c>
      <c r="I14" s="18">
        <f t="shared" ref="I14:K14" si="10">SUM(I15)</f>
        <v>22382121</v>
      </c>
      <c r="J14" s="18">
        <f t="shared" si="10"/>
        <v>1101545000</v>
      </c>
      <c r="K14" s="18">
        <f t="shared" si="10"/>
        <v>1106945000</v>
      </c>
    </row>
    <row r="15" spans="1:11" s="8" customFormat="1">
      <c r="A15" s="20" t="s">
        <v>17</v>
      </c>
      <c r="B15" s="21" t="s">
        <v>18</v>
      </c>
      <c r="C15" s="22">
        <f t="shared" ref="C15:G15" si="11">SUM(C16,C22,C49,C53,C56)</f>
        <v>1000977179</v>
      </c>
      <c r="D15" s="22">
        <f t="shared" si="11"/>
        <v>1077597179</v>
      </c>
      <c r="E15" s="22">
        <f t="shared" si="11"/>
        <v>434668179.88999999</v>
      </c>
      <c r="F15" s="22">
        <f t="shared" si="11"/>
        <v>1014081239</v>
      </c>
      <c r="G15" s="22">
        <f t="shared" si="11"/>
        <v>1013990841</v>
      </c>
      <c r="H15" s="22">
        <f>SUM(H16,H22,H49,H53,H56)</f>
        <v>1097979300</v>
      </c>
      <c r="I15" s="22">
        <f t="shared" ref="I15:K15" si="12">SUM(I16,I22,I49,I53,I56)</f>
        <v>22382121</v>
      </c>
      <c r="J15" s="22">
        <f t="shared" si="12"/>
        <v>1101545000</v>
      </c>
      <c r="K15" s="22">
        <f t="shared" si="12"/>
        <v>1106945000</v>
      </c>
    </row>
    <row r="16" spans="1:11" s="8" customFormat="1">
      <c r="A16" s="30" t="s">
        <v>27</v>
      </c>
      <c r="B16" s="31" t="s">
        <v>28</v>
      </c>
      <c r="C16" s="33">
        <f t="shared" ref="C16:G16" si="13">SUM(C17:C21)</f>
        <v>888232179</v>
      </c>
      <c r="D16" s="33">
        <f t="shared" si="13"/>
        <v>953232179</v>
      </c>
      <c r="E16" s="33">
        <f t="shared" si="13"/>
        <v>380737745.48999995</v>
      </c>
      <c r="F16" s="33">
        <f t="shared" si="13"/>
        <v>893336239</v>
      </c>
      <c r="G16" s="33">
        <f t="shared" si="13"/>
        <v>897745841</v>
      </c>
      <c r="H16" s="33">
        <f>SUM(H17:H21)</f>
        <v>982000000</v>
      </c>
      <c r="I16" s="33">
        <f t="shared" ref="I16:K16" si="14">SUM(I17:I21)</f>
        <v>28767821</v>
      </c>
      <c r="J16" s="33">
        <f t="shared" si="14"/>
        <v>987300000</v>
      </c>
      <c r="K16" s="33">
        <f t="shared" si="14"/>
        <v>992700000</v>
      </c>
    </row>
    <row r="17" spans="1:11" s="8" customFormat="1">
      <c r="A17" s="27" t="s">
        <v>29</v>
      </c>
      <c r="B17" s="27" t="s">
        <v>30</v>
      </c>
      <c r="C17" s="28">
        <v>679232179</v>
      </c>
      <c r="D17" s="28">
        <v>726232179</v>
      </c>
      <c r="E17" s="29">
        <v>294615256.38</v>
      </c>
      <c r="F17" s="28">
        <v>680836239</v>
      </c>
      <c r="G17" s="28">
        <v>682245841</v>
      </c>
      <c r="H17" s="121">
        <f>746000000</f>
        <v>746000000</v>
      </c>
      <c r="I17" s="121">
        <f>H17-D17</f>
        <v>19767821</v>
      </c>
      <c r="J17" s="121">
        <f>750000000</f>
        <v>750000000</v>
      </c>
      <c r="K17" s="121">
        <f>754000000</f>
        <v>754000000</v>
      </c>
    </row>
    <row r="18" spans="1:11" s="8" customFormat="1">
      <c r="A18" s="27" t="s">
        <v>31</v>
      </c>
      <c r="B18" s="27" t="s">
        <v>32</v>
      </c>
      <c r="C18" s="28">
        <v>22000000</v>
      </c>
      <c r="D18" s="28">
        <v>26000000</v>
      </c>
      <c r="E18" s="29">
        <v>10231055.25</v>
      </c>
      <c r="F18" s="28">
        <v>22500000</v>
      </c>
      <c r="G18" s="28">
        <v>23000000</v>
      </c>
      <c r="H18" s="28">
        <v>25000000</v>
      </c>
      <c r="I18" s="28">
        <f>H18-D18</f>
        <v>-1000000</v>
      </c>
      <c r="J18" s="28">
        <v>25200000</v>
      </c>
      <c r="K18" s="28">
        <v>25500000</v>
      </c>
    </row>
    <row r="19" spans="1:11" s="8" customFormat="1">
      <c r="A19" s="27" t="s">
        <v>34</v>
      </c>
      <c r="B19" s="27" t="s">
        <v>33</v>
      </c>
      <c r="C19" s="28">
        <v>38000000</v>
      </c>
      <c r="D19" s="28">
        <v>38600000</v>
      </c>
      <c r="E19" s="29">
        <v>9307198.5800000001</v>
      </c>
      <c r="F19" s="28">
        <v>38500000</v>
      </c>
      <c r="G19" s="28">
        <v>39000000</v>
      </c>
      <c r="H19" s="28">
        <v>39300000</v>
      </c>
      <c r="I19" s="28">
        <f>H19-D19</f>
        <v>700000</v>
      </c>
      <c r="J19" s="28">
        <v>39500000</v>
      </c>
      <c r="K19" s="28">
        <v>39700000</v>
      </c>
    </row>
    <row r="20" spans="1:11" s="8" customFormat="1" ht="20.399999999999999">
      <c r="A20" s="27" t="s">
        <v>35</v>
      </c>
      <c r="B20" s="27" t="s">
        <v>36</v>
      </c>
      <c r="C20" s="28">
        <v>45000000</v>
      </c>
      <c r="D20" s="28">
        <v>50200000</v>
      </c>
      <c r="E20" s="29">
        <v>20536242.210000001</v>
      </c>
      <c r="F20" s="28">
        <v>45500000</v>
      </c>
      <c r="G20" s="28">
        <v>46000000</v>
      </c>
      <c r="H20" s="28">
        <v>53200000</v>
      </c>
      <c r="I20" s="28">
        <f>H20-D20</f>
        <v>3000000</v>
      </c>
      <c r="J20" s="28">
        <v>53500000</v>
      </c>
      <c r="K20" s="28">
        <v>53800000</v>
      </c>
    </row>
    <row r="21" spans="1:11" s="8" customFormat="1">
      <c r="A21" s="27" t="s">
        <v>37</v>
      </c>
      <c r="B21" s="27" t="s">
        <v>38</v>
      </c>
      <c r="C21" s="28">
        <v>104000000</v>
      </c>
      <c r="D21" s="28">
        <v>112200000</v>
      </c>
      <c r="E21" s="29">
        <v>46047993.07</v>
      </c>
      <c r="F21" s="28">
        <v>106000000</v>
      </c>
      <c r="G21" s="28">
        <v>107500000</v>
      </c>
      <c r="H21" s="28">
        <v>118500000</v>
      </c>
      <c r="I21" s="28">
        <f>H21-D21</f>
        <v>6300000</v>
      </c>
      <c r="J21" s="28">
        <v>119100000</v>
      </c>
      <c r="K21" s="28">
        <v>119700000</v>
      </c>
    </row>
    <row r="22" spans="1:11" s="8" customFormat="1">
      <c r="A22" s="30" t="s">
        <v>39</v>
      </c>
      <c r="B22" s="31" t="s">
        <v>40</v>
      </c>
      <c r="C22" s="33">
        <f t="shared" ref="C22:G22" si="15">SUM(C23:C48)</f>
        <v>107000000</v>
      </c>
      <c r="D22" s="33">
        <f t="shared" si="15"/>
        <v>116660000</v>
      </c>
      <c r="E22" s="33">
        <f t="shared" si="15"/>
        <v>51563386.490000002</v>
      </c>
      <c r="F22" s="33">
        <f t="shared" si="15"/>
        <v>115000000</v>
      </c>
      <c r="G22" s="33">
        <f t="shared" si="15"/>
        <v>110500000</v>
      </c>
      <c r="H22" s="33">
        <f>SUM(H23:H48)</f>
        <v>108734300</v>
      </c>
      <c r="I22" s="33">
        <f t="shared" ref="I22:K22" si="16">SUM(I23:I48)</f>
        <v>-7925700</v>
      </c>
      <c r="J22" s="33">
        <f t="shared" si="16"/>
        <v>107000000</v>
      </c>
      <c r="K22" s="33">
        <f t="shared" si="16"/>
        <v>107000000</v>
      </c>
    </row>
    <row r="23" spans="1:11" s="8" customFormat="1">
      <c r="A23" s="27" t="s">
        <v>41</v>
      </c>
      <c r="B23" s="27" t="s">
        <v>42</v>
      </c>
      <c r="C23" s="28">
        <v>4000000</v>
      </c>
      <c r="D23" s="28">
        <v>5000000</v>
      </c>
      <c r="E23" s="29">
        <v>2560365.8199999998</v>
      </c>
      <c r="F23" s="28">
        <v>5000000</v>
      </c>
      <c r="G23" s="28">
        <v>5000000</v>
      </c>
      <c r="H23" s="180">
        <f>5000000-500000</f>
        <v>4500000</v>
      </c>
      <c r="I23" s="180">
        <f t="shared" ref="I23:I48" si="17">H23-D23</f>
        <v>-500000</v>
      </c>
      <c r="J23" s="180">
        <f t="shared" ref="J23:K23" si="18">5000000-500000</f>
        <v>4500000</v>
      </c>
      <c r="K23" s="180">
        <f t="shared" si="18"/>
        <v>4500000</v>
      </c>
    </row>
    <row r="24" spans="1:11" s="8" customFormat="1" ht="20.399999999999999">
      <c r="A24" s="27" t="s">
        <v>43</v>
      </c>
      <c r="B24" s="27" t="s">
        <v>44</v>
      </c>
      <c r="C24" s="28">
        <v>20800000</v>
      </c>
      <c r="D24" s="28">
        <v>22800000</v>
      </c>
      <c r="E24" s="29">
        <v>11290832.359999999</v>
      </c>
      <c r="F24" s="28">
        <v>24000000</v>
      </c>
      <c r="G24" s="28">
        <v>23000000</v>
      </c>
      <c r="H24" s="180">
        <f>24000000-3000000+360000</f>
        <v>21360000</v>
      </c>
      <c r="I24" s="180">
        <f t="shared" si="17"/>
        <v>-1440000</v>
      </c>
      <c r="J24" s="180">
        <f t="shared" ref="J24:K24" si="19">24000000-3000000</f>
        <v>21000000</v>
      </c>
      <c r="K24" s="180">
        <f t="shared" si="19"/>
        <v>21000000</v>
      </c>
    </row>
    <row r="25" spans="1:11" s="8" customFormat="1">
      <c r="A25" s="27" t="s">
        <v>45</v>
      </c>
      <c r="B25" s="27" t="s">
        <v>46</v>
      </c>
      <c r="C25" s="28">
        <v>250000</v>
      </c>
      <c r="D25" s="28">
        <v>250000</v>
      </c>
      <c r="E25" s="29">
        <v>193407.01</v>
      </c>
      <c r="F25" s="28">
        <v>250000</v>
      </c>
      <c r="G25" s="28">
        <v>220000</v>
      </c>
      <c r="H25" s="180">
        <v>250000</v>
      </c>
      <c r="I25" s="180">
        <f t="shared" si="17"/>
        <v>0</v>
      </c>
      <c r="J25" s="180">
        <v>250000</v>
      </c>
      <c r="K25" s="180">
        <v>250000</v>
      </c>
    </row>
    <row r="26" spans="1:11" s="8" customFormat="1">
      <c r="A26" s="27" t="s">
        <v>47</v>
      </c>
      <c r="B26" s="27" t="s">
        <v>48</v>
      </c>
      <c r="C26" s="28">
        <v>2500000</v>
      </c>
      <c r="D26" s="28">
        <v>2600000</v>
      </c>
      <c r="E26" s="29">
        <v>747592.99</v>
      </c>
      <c r="F26" s="28">
        <v>2000000</v>
      </c>
      <c r="G26" s="28">
        <v>2000000</v>
      </c>
      <c r="H26" s="180">
        <f>2000000+2000000</f>
        <v>4000000</v>
      </c>
      <c r="I26" s="180">
        <f t="shared" si="17"/>
        <v>1400000</v>
      </c>
      <c r="J26" s="180">
        <f>2000000+2000000</f>
        <v>4000000</v>
      </c>
      <c r="K26" s="180">
        <f>2000000+2000000</f>
        <v>4000000</v>
      </c>
    </row>
    <row r="27" spans="1:11" s="8" customFormat="1">
      <c r="A27" s="27" t="s">
        <v>49</v>
      </c>
      <c r="B27" s="27" t="s">
        <v>50</v>
      </c>
      <c r="C27" s="28">
        <v>2650000</v>
      </c>
      <c r="D27" s="28">
        <v>2650000</v>
      </c>
      <c r="E27" s="29">
        <v>1064063.22</v>
      </c>
      <c r="F27" s="28">
        <v>2700000</v>
      </c>
      <c r="G27" s="28">
        <v>2700000</v>
      </c>
      <c r="H27" s="180">
        <v>2700000</v>
      </c>
      <c r="I27" s="180">
        <f t="shared" si="17"/>
        <v>50000</v>
      </c>
      <c r="J27" s="180">
        <v>2700000</v>
      </c>
      <c r="K27" s="180">
        <v>2700000</v>
      </c>
    </row>
    <row r="28" spans="1:11" s="8" customFormat="1">
      <c r="A28" s="27" t="s">
        <v>51</v>
      </c>
      <c r="B28" s="27" t="s">
        <v>52</v>
      </c>
      <c r="C28" s="28">
        <v>2250000</v>
      </c>
      <c r="D28" s="28">
        <v>2250000</v>
      </c>
      <c r="E28" s="29">
        <v>1333042.22</v>
      </c>
      <c r="F28" s="28">
        <v>2300000</v>
      </c>
      <c r="G28" s="28">
        <v>2300000</v>
      </c>
      <c r="H28" s="180">
        <v>2300000</v>
      </c>
      <c r="I28" s="180">
        <f t="shared" si="17"/>
        <v>50000</v>
      </c>
      <c r="J28" s="180">
        <v>2300000</v>
      </c>
      <c r="K28" s="180">
        <v>2300000</v>
      </c>
    </row>
    <row r="29" spans="1:11" s="8" customFormat="1">
      <c r="A29" s="27" t="s">
        <v>53</v>
      </c>
      <c r="B29" s="27" t="s">
        <v>54</v>
      </c>
      <c r="C29" s="28">
        <v>20000000</v>
      </c>
      <c r="D29" s="28">
        <v>20000000</v>
      </c>
      <c r="E29" s="29">
        <v>8770565.9800000004</v>
      </c>
      <c r="F29" s="28">
        <v>21000000</v>
      </c>
      <c r="G29" s="28">
        <v>20500000</v>
      </c>
      <c r="H29" s="180">
        <f>21000000-500000</f>
        <v>20500000</v>
      </c>
      <c r="I29" s="180">
        <f t="shared" si="17"/>
        <v>500000</v>
      </c>
      <c r="J29" s="180">
        <f>21000000-500000</f>
        <v>20500000</v>
      </c>
      <c r="K29" s="180">
        <f>21000000-500000</f>
        <v>20500000</v>
      </c>
    </row>
    <row r="30" spans="1:11" s="8" customFormat="1" ht="20.399999999999999">
      <c r="A30" s="27" t="s">
        <v>55</v>
      </c>
      <c r="B30" s="27" t="s">
        <v>56</v>
      </c>
      <c r="C30" s="28">
        <v>1100000</v>
      </c>
      <c r="D30" s="28">
        <v>1200000</v>
      </c>
      <c r="E30" s="29">
        <v>430412.1</v>
      </c>
      <c r="F30" s="28">
        <v>1100000</v>
      </c>
      <c r="G30" s="28">
        <v>1100000</v>
      </c>
      <c r="H30" s="180">
        <v>1100000</v>
      </c>
      <c r="I30" s="180">
        <f t="shared" si="17"/>
        <v>-100000</v>
      </c>
      <c r="J30" s="180">
        <v>1100000</v>
      </c>
      <c r="K30" s="180">
        <v>1100000</v>
      </c>
    </row>
    <row r="31" spans="1:11" s="8" customFormat="1">
      <c r="A31" s="27" t="s">
        <v>57</v>
      </c>
      <c r="B31" s="27" t="s">
        <v>58</v>
      </c>
      <c r="C31" s="28">
        <v>1500000</v>
      </c>
      <c r="D31" s="28">
        <v>1500000</v>
      </c>
      <c r="E31" s="29">
        <v>473173.29</v>
      </c>
      <c r="F31" s="28">
        <v>1500000</v>
      </c>
      <c r="G31" s="28">
        <v>1500000</v>
      </c>
      <c r="H31" s="180">
        <v>1500000</v>
      </c>
      <c r="I31" s="180">
        <f t="shared" si="17"/>
        <v>0</v>
      </c>
      <c r="J31" s="180">
        <v>1500000</v>
      </c>
      <c r="K31" s="180">
        <v>1500000</v>
      </c>
    </row>
    <row r="32" spans="1:11" s="8" customFormat="1">
      <c r="A32" s="27" t="s">
        <v>59</v>
      </c>
      <c r="B32" s="27" t="s">
        <v>60</v>
      </c>
      <c r="C32" s="28">
        <v>30000</v>
      </c>
      <c r="D32" s="28">
        <v>30000</v>
      </c>
      <c r="E32" s="29">
        <v>3651.06</v>
      </c>
      <c r="F32" s="28">
        <v>40000</v>
      </c>
      <c r="G32" s="28">
        <v>20000</v>
      </c>
      <c r="H32" s="180">
        <v>40000</v>
      </c>
      <c r="I32" s="180">
        <f t="shared" si="17"/>
        <v>10000</v>
      </c>
      <c r="J32" s="180">
        <v>40000</v>
      </c>
      <c r="K32" s="180">
        <v>40000</v>
      </c>
    </row>
    <row r="33" spans="1:11" s="8" customFormat="1">
      <c r="A33" s="27" t="s">
        <v>61</v>
      </c>
      <c r="B33" s="27" t="s">
        <v>62</v>
      </c>
      <c r="C33" s="28">
        <v>8700000</v>
      </c>
      <c r="D33" s="28">
        <v>10650000</v>
      </c>
      <c r="E33" s="29">
        <v>3608733.69</v>
      </c>
      <c r="F33" s="28">
        <v>10750000</v>
      </c>
      <c r="G33" s="28">
        <v>9800000</v>
      </c>
      <c r="H33" s="180">
        <f>10750000-625700</f>
        <v>10124300</v>
      </c>
      <c r="I33" s="180">
        <f t="shared" si="17"/>
        <v>-525700</v>
      </c>
      <c r="J33" s="180">
        <f>10750000-500000</f>
        <v>10250000</v>
      </c>
      <c r="K33" s="180">
        <f>10750000-500000</f>
        <v>10250000</v>
      </c>
    </row>
    <row r="34" spans="1:11" s="8" customFormat="1">
      <c r="A34" s="27" t="s">
        <v>63</v>
      </c>
      <c r="B34" s="27" t="s">
        <v>64</v>
      </c>
      <c r="C34" s="28">
        <v>13000000</v>
      </c>
      <c r="D34" s="28">
        <v>15500000</v>
      </c>
      <c r="E34" s="29">
        <v>6981447.1600000001</v>
      </c>
      <c r="F34" s="28">
        <v>14000000</v>
      </c>
      <c r="G34" s="28">
        <v>12500000</v>
      </c>
      <c r="H34" s="180">
        <f>14000000-500000</f>
        <v>13500000</v>
      </c>
      <c r="I34" s="180">
        <f t="shared" si="17"/>
        <v>-2000000</v>
      </c>
      <c r="J34" s="180">
        <f t="shared" ref="J34:K34" si="20">14000000-500000</f>
        <v>13500000</v>
      </c>
      <c r="K34" s="180">
        <f t="shared" si="20"/>
        <v>13500000</v>
      </c>
    </row>
    <row r="35" spans="1:11" s="8" customFormat="1">
      <c r="A35" s="27" t="s">
        <v>65</v>
      </c>
      <c r="B35" s="27" t="s">
        <v>66</v>
      </c>
      <c r="C35" s="28">
        <v>300000</v>
      </c>
      <c r="D35" s="28">
        <v>300000</v>
      </c>
      <c r="E35" s="29">
        <v>173347.61</v>
      </c>
      <c r="F35" s="28">
        <v>500000</v>
      </c>
      <c r="G35" s="28">
        <v>500000</v>
      </c>
      <c r="H35" s="180">
        <v>500000</v>
      </c>
      <c r="I35" s="180">
        <f t="shared" si="17"/>
        <v>200000</v>
      </c>
      <c r="J35" s="180">
        <v>500000</v>
      </c>
      <c r="K35" s="180">
        <v>500000</v>
      </c>
    </row>
    <row r="36" spans="1:11" s="8" customFormat="1">
      <c r="A36" s="27" t="s">
        <v>67</v>
      </c>
      <c r="B36" s="27" t="s">
        <v>68</v>
      </c>
      <c r="C36" s="28">
        <v>4000000</v>
      </c>
      <c r="D36" s="28">
        <v>4000000</v>
      </c>
      <c r="E36" s="29">
        <v>1542118.15</v>
      </c>
      <c r="F36" s="28">
        <v>3800000</v>
      </c>
      <c r="G36" s="28">
        <v>3800000</v>
      </c>
      <c r="H36" s="180">
        <v>3800000</v>
      </c>
      <c r="I36" s="180">
        <f t="shared" si="17"/>
        <v>-200000</v>
      </c>
      <c r="J36" s="180">
        <v>3800000</v>
      </c>
      <c r="K36" s="180">
        <v>3800000</v>
      </c>
    </row>
    <row r="37" spans="1:11" s="8" customFormat="1">
      <c r="A37" s="27" t="s">
        <v>69</v>
      </c>
      <c r="B37" s="27" t="s">
        <v>70</v>
      </c>
      <c r="C37" s="28">
        <v>9000000</v>
      </c>
      <c r="D37" s="28">
        <v>11000000</v>
      </c>
      <c r="E37" s="29">
        <v>4268513.99</v>
      </c>
      <c r="F37" s="28">
        <v>9000000</v>
      </c>
      <c r="G37" s="28">
        <v>8500000</v>
      </c>
      <c r="H37" s="180">
        <v>9000000</v>
      </c>
      <c r="I37" s="180">
        <f t="shared" si="17"/>
        <v>-2000000</v>
      </c>
      <c r="J37" s="180">
        <f>9000000-500000</f>
        <v>8500000</v>
      </c>
      <c r="K37" s="180">
        <f>9000000-500000</f>
        <v>8500000</v>
      </c>
    </row>
    <row r="38" spans="1:11" s="8" customFormat="1">
      <c r="A38" s="27" t="s">
        <v>71</v>
      </c>
      <c r="B38" s="27" t="s">
        <v>72</v>
      </c>
      <c r="C38" s="28">
        <v>2200000</v>
      </c>
      <c r="D38" s="28">
        <v>2375000</v>
      </c>
      <c r="E38" s="29">
        <v>907054.83</v>
      </c>
      <c r="F38" s="28">
        <v>2200000</v>
      </c>
      <c r="G38" s="28">
        <v>2200000</v>
      </c>
      <c r="H38" s="180">
        <v>2200000</v>
      </c>
      <c r="I38" s="180">
        <f t="shared" si="17"/>
        <v>-175000</v>
      </c>
      <c r="J38" s="180">
        <v>2200000</v>
      </c>
      <c r="K38" s="180">
        <v>2200000</v>
      </c>
    </row>
    <row r="39" spans="1:11" s="8" customFormat="1">
      <c r="A39" s="27" t="s">
        <v>73</v>
      </c>
      <c r="B39" s="27" t="s">
        <v>74</v>
      </c>
      <c r="C39" s="28">
        <v>4000000</v>
      </c>
      <c r="D39" s="28">
        <v>5000000</v>
      </c>
      <c r="E39" s="29">
        <v>2258267.52</v>
      </c>
      <c r="F39" s="28">
        <v>4000000</v>
      </c>
      <c r="G39" s="28">
        <v>4000000</v>
      </c>
      <c r="H39" s="180">
        <v>5000000</v>
      </c>
      <c r="I39" s="180">
        <f t="shared" si="17"/>
        <v>0</v>
      </c>
      <c r="J39" s="180">
        <f>5000000-1000000</f>
        <v>4000000</v>
      </c>
      <c r="K39" s="180">
        <f>5000000-1000000</f>
        <v>4000000</v>
      </c>
    </row>
    <row r="40" spans="1:11" s="8" customFormat="1">
      <c r="A40" s="27" t="s">
        <v>75</v>
      </c>
      <c r="B40" s="27" t="s">
        <v>76</v>
      </c>
      <c r="C40" s="28">
        <v>7000000</v>
      </c>
      <c r="D40" s="28">
        <v>5500000</v>
      </c>
      <c r="E40" s="29">
        <v>3043866.14</v>
      </c>
      <c r="F40" s="28">
        <v>7000000</v>
      </c>
      <c r="G40" s="28">
        <v>7000000</v>
      </c>
      <c r="H40" s="180">
        <f>7000000-2500000-2000000</f>
        <v>2500000</v>
      </c>
      <c r="I40" s="180">
        <f t="shared" si="17"/>
        <v>-3000000</v>
      </c>
      <c r="J40" s="180">
        <f>7000000-2500000-2000000</f>
        <v>2500000</v>
      </c>
      <c r="K40" s="180">
        <f>7000000-2500000-2000000</f>
        <v>2500000</v>
      </c>
    </row>
    <row r="41" spans="1:11" s="8" customFormat="1">
      <c r="A41" s="27" t="s">
        <v>78</v>
      </c>
      <c r="B41" s="27" t="s">
        <v>77</v>
      </c>
      <c r="C41" s="28">
        <v>50000</v>
      </c>
      <c r="D41" s="28">
        <v>51000</v>
      </c>
      <c r="E41" s="29">
        <v>8289.44</v>
      </c>
      <c r="F41" s="28">
        <v>50000</v>
      </c>
      <c r="G41" s="28">
        <v>50000</v>
      </c>
      <c r="H41" s="132">
        <v>50000</v>
      </c>
      <c r="I41" s="132">
        <f t="shared" si="17"/>
        <v>-1000</v>
      </c>
      <c r="J41" s="132">
        <v>50000</v>
      </c>
      <c r="K41" s="132">
        <v>50000</v>
      </c>
    </row>
    <row r="42" spans="1:11" s="8" customFormat="1" ht="20.399999999999999">
      <c r="A42" s="27" t="s">
        <v>80</v>
      </c>
      <c r="B42" s="27" t="s">
        <v>81</v>
      </c>
      <c r="C42" s="28">
        <v>50000</v>
      </c>
      <c r="D42" s="28">
        <v>50000</v>
      </c>
      <c r="E42" s="29">
        <v>8070.46</v>
      </c>
      <c r="F42" s="28">
        <v>50000</v>
      </c>
      <c r="G42" s="28">
        <v>50000</v>
      </c>
      <c r="H42" s="28">
        <v>50000</v>
      </c>
      <c r="I42" s="28">
        <f t="shared" si="17"/>
        <v>0</v>
      </c>
      <c r="J42" s="28">
        <v>50000</v>
      </c>
      <c r="K42" s="28">
        <v>50000</v>
      </c>
    </row>
    <row r="43" spans="1:11" s="8" customFormat="1">
      <c r="A43" s="27" t="s">
        <v>82</v>
      </c>
      <c r="B43" s="27" t="s">
        <v>83</v>
      </c>
      <c r="C43" s="28">
        <v>1500000</v>
      </c>
      <c r="D43" s="28">
        <v>1700000</v>
      </c>
      <c r="E43" s="29">
        <v>594462.71999999997</v>
      </c>
      <c r="F43" s="28">
        <v>1500000</v>
      </c>
      <c r="G43" s="28">
        <v>1500000</v>
      </c>
      <c r="H43" s="28">
        <v>1500000</v>
      </c>
      <c r="I43" s="28">
        <f t="shared" si="17"/>
        <v>-200000</v>
      </c>
      <c r="J43" s="28">
        <v>1500000</v>
      </c>
      <c r="K43" s="28">
        <v>1500000</v>
      </c>
    </row>
    <row r="44" spans="1:11" s="8" customFormat="1">
      <c r="A44" s="27" t="s">
        <v>84</v>
      </c>
      <c r="B44" s="27" t="s">
        <v>85</v>
      </c>
      <c r="C44" s="28">
        <v>150000</v>
      </c>
      <c r="D44" s="28">
        <v>150000</v>
      </c>
      <c r="E44" s="29">
        <v>30356.26</v>
      </c>
      <c r="F44" s="28">
        <v>150000</v>
      </c>
      <c r="G44" s="28">
        <v>150000</v>
      </c>
      <c r="H44" s="28">
        <v>150000</v>
      </c>
      <c r="I44" s="28">
        <f t="shared" si="17"/>
        <v>0</v>
      </c>
      <c r="J44" s="28">
        <v>150000</v>
      </c>
      <c r="K44" s="28">
        <v>150000</v>
      </c>
    </row>
    <row r="45" spans="1:11" s="8" customFormat="1">
      <c r="A45" s="27" t="s">
        <v>86</v>
      </c>
      <c r="B45" s="27" t="s">
        <v>87</v>
      </c>
      <c r="C45" s="28">
        <v>960000</v>
      </c>
      <c r="D45" s="28">
        <v>960000</v>
      </c>
      <c r="E45" s="29">
        <v>828128.77</v>
      </c>
      <c r="F45" s="28">
        <v>1000000</v>
      </c>
      <c r="G45" s="28">
        <v>1000000</v>
      </c>
      <c r="H45" s="28">
        <v>1000000</v>
      </c>
      <c r="I45" s="28">
        <f t="shared" si="17"/>
        <v>40000</v>
      </c>
      <c r="J45" s="28">
        <v>1000000</v>
      </c>
      <c r="K45" s="28">
        <v>1000000</v>
      </c>
    </row>
    <row r="46" spans="1:11" s="8" customFormat="1">
      <c r="A46" s="27" t="s">
        <v>88</v>
      </c>
      <c r="B46" s="27" t="s">
        <v>89</v>
      </c>
      <c r="C46" s="28">
        <v>10000</v>
      </c>
      <c r="D46" s="28">
        <v>110000</v>
      </c>
      <c r="E46" s="29">
        <v>15680.36</v>
      </c>
      <c r="F46" s="28">
        <v>10000</v>
      </c>
      <c r="G46" s="28">
        <v>10000</v>
      </c>
      <c r="H46" s="28">
        <v>10000</v>
      </c>
      <c r="I46" s="28">
        <f t="shared" si="17"/>
        <v>-100000</v>
      </c>
      <c r="J46" s="28">
        <v>10000</v>
      </c>
      <c r="K46" s="28">
        <v>10000</v>
      </c>
    </row>
    <row r="47" spans="1:11" s="8" customFormat="1">
      <c r="A47" s="27" t="s">
        <v>90</v>
      </c>
      <c r="B47" s="27" t="s">
        <v>91</v>
      </c>
      <c r="C47" s="28">
        <v>500000</v>
      </c>
      <c r="D47" s="28">
        <v>534000</v>
      </c>
      <c r="E47" s="29">
        <v>329955.86</v>
      </c>
      <c r="F47" s="28">
        <v>600000</v>
      </c>
      <c r="G47" s="28">
        <v>600000</v>
      </c>
      <c r="H47" s="28">
        <v>600000</v>
      </c>
      <c r="I47" s="28">
        <f t="shared" si="17"/>
        <v>66000</v>
      </c>
      <c r="J47" s="28">
        <v>600000</v>
      </c>
      <c r="K47" s="28">
        <v>600000</v>
      </c>
    </row>
    <row r="48" spans="1:11" s="8" customFormat="1">
      <c r="A48" s="27" t="s">
        <v>92</v>
      </c>
      <c r="B48" s="27" t="s">
        <v>79</v>
      </c>
      <c r="C48" s="28">
        <v>500000</v>
      </c>
      <c r="D48" s="28">
        <v>500000</v>
      </c>
      <c r="E48" s="29">
        <v>97987.48</v>
      </c>
      <c r="F48" s="28">
        <v>500000</v>
      </c>
      <c r="G48" s="28">
        <v>500000</v>
      </c>
      <c r="H48" s="28">
        <v>500000</v>
      </c>
      <c r="I48" s="28">
        <f t="shared" si="17"/>
        <v>0</v>
      </c>
      <c r="J48" s="28">
        <v>500000</v>
      </c>
      <c r="K48" s="28">
        <v>500000</v>
      </c>
    </row>
    <row r="49" spans="1:11" s="8" customFormat="1">
      <c r="A49" s="30" t="s">
        <v>93</v>
      </c>
      <c r="B49" s="31" t="s">
        <v>94</v>
      </c>
      <c r="C49" s="33">
        <f t="shared" ref="C49" si="21">SUM(C50:C52)</f>
        <v>105000</v>
      </c>
      <c r="D49" s="33">
        <f t="shared" ref="D49" si="22">SUM(D50:D52)</f>
        <v>65000</v>
      </c>
      <c r="E49" s="33">
        <f t="shared" ref="E49" si="23">SUM(E50:E52)</f>
        <v>21786.25</v>
      </c>
      <c r="F49" s="33">
        <f t="shared" ref="F49" si="24">SUM(F50:F52)</f>
        <v>105000</v>
      </c>
      <c r="G49" s="33">
        <f t="shared" ref="G49" si="25">SUM(G50:G52)</f>
        <v>105000</v>
      </c>
      <c r="H49" s="33">
        <f t="shared" ref="H49" si="26">SUM(H50:H52)</f>
        <v>105000</v>
      </c>
      <c r="I49" s="33">
        <f t="shared" ref="I49" si="27">SUM(I50:I52)</f>
        <v>40000</v>
      </c>
      <c r="J49" s="33">
        <f t="shared" ref="J49" si="28">SUM(J50:J52)</f>
        <v>105000</v>
      </c>
      <c r="K49" s="33">
        <f t="shared" ref="K49" si="29">SUM(K50:K52)</f>
        <v>105000</v>
      </c>
    </row>
    <row r="50" spans="1:11" s="8" customFormat="1">
      <c r="A50" s="27" t="s">
        <v>95</v>
      </c>
      <c r="B50" s="27" t="s">
        <v>96</v>
      </c>
      <c r="C50" s="28">
        <v>30000</v>
      </c>
      <c r="D50" s="28">
        <v>10000</v>
      </c>
      <c r="E50" s="29">
        <v>2659.81</v>
      </c>
      <c r="F50" s="28">
        <v>30000</v>
      </c>
      <c r="G50" s="28">
        <v>30000</v>
      </c>
      <c r="H50" s="28">
        <v>30000</v>
      </c>
      <c r="I50" s="28">
        <f>H50-D50</f>
        <v>20000</v>
      </c>
      <c r="J50" s="28">
        <v>30000</v>
      </c>
      <c r="K50" s="28">
        <v>30000</v>
      </c>
    </row>
    <row r="51" spans="1:11" s="8" customFormat="1">
      <c r="A51" s="27" t="s">
        <v>97</v>
      </c>
      <c r="B51" s="27" t="s">
        <v>98</v>
      </c>
      <c r="C51" s="28">
        <v>40000</v>
      </c>
      <c r="D51" s="28">
        <v>20000</v>
      </c>
      <c r="E51" s="29">
        <v>8999.49</v>
      </c>
      <c r="F51" s="28">
        <v>40000</v>
      </c>
      <c r="G51" s="28">
        <v>40000</v>
      </c>
      <c r="H51" s="28">
        <v>40000</v>
      </c>
      <c r="I51" s="28">
        <f>H51-D51</f>
        <v>20000</v>
      </c>
      <c r="J51" s="28">
        <v>40000</v>
      </c>
      <c r="K51" s="28">
        <v>40000</v>
      </c>
    </row>
    <row r="52" spans="1:11" s="8" customFormat="1">
      <c r="A52" s="27" t="s">
        <v>99</v>
      </c>
      <c r="B52" s="27" t="s">
        <v>100</v>
      </c>
      <c r="C52" s="28">
        <v>35000</v>
      </c>
      <c r="D52" s="28">
        <v>35000</v>
      </c>
      <c r="E52" s="29">
        <v>10126.950000000001</v>
      </c>
      <c r="F52" s="28">
        <v>35000</v>
      </c>
      <c r="G52" s="28">
        <v>35000</v>
      </c>
      <c r="H52" s="28">
        <v>35000</v>
      </c>
      <c r="I52" s="28">
        <f>H52-D52</f>
        <v>0</v>
      </c>
      <c r="J52" s="28">
        <v>35000</v>
      </c>
      <c r="K52" s="28">
        <v>35000</v>
      </c>
    </row>
    <row r="53" spans="1:11" s="8" customFormat="1" ht="20.399999999999999">
      <c r="A53" s="30" t="s">
        <v>101</v>
      </c>
      <c r="B53" s="31" t="s">
        <v>102</v>
      </c>
      <c r="C53" s="33">
        <f>SUM(C54:C55)</f>
        <v>3000000</v>
      </c>
      <c r="D53" s="33">
        <f t="shared" ref="D53:F53" si="30">SUM(D54:D55)</f>
        <v>5000000</v>
      </c>
      <c r="E53" s="33">
        <f t="shared" si="30"/>
        <v>1422764.05</v>
      </c>
      <c r="F53" s="33">
        <f t="shared" si="30"/>
        <v>3000000</v>
      </c>
      <c r="G53" s="33">
        <f t="shared" ref="G53" si="31">SUM(G54:G55)</f>
        <v>3000000</v>
      </c>
      <c r="H53" s="33">
        <f t="shared" ref="H53:I53" si="32">SUM(H54:H55)</f>
        <v>5000000</v>
      </c>
      <c r="I53" s="33">
        <f t="shared" si="32"/>
        <v>2000000</v>
      </c>
      <c r="J53" s="33">
        <f t="shared" ref="J53" si="33">SUM(J54:J55)</f>
        <v>5000000</v>
      </c>
      <c r="K53" s="33">
        <f t="shared" ref="K53" si="34">SUM(K54:K55)</f>
        <v>5000000</v>
      </c>
    </row>
    <row r="54" spans="1:11" s="8" customFormat="1">
      <c r="A54" s="27" t="s">
        <v>103</v>
      </c>
      <c r="B54" s="27" t="s">
        <v>104</v>
      </c>
      <c r="C54" s="28">
        <v>3000000</v>
      </c>
      <c r="D54" s="28">
        <v>3000000</v>
      </c>
      <c r="E54" s="29">
        <v>1422764.05</v>
      </c>
      <c r="F54" s="28">
        <v>3000000</v>
      </c>
      <c r="G54" s="28">
        <v>3000000</v>
      </c>
      <c r="H54" s="180">
        <f>3000000+2500000-500000</f>
        <v>5000000</v>
      </c>
      <c r="I54" s="180">
        <f>H54-D54</f>
        <v>2000000</v>
      </c>
      <c r="J54" s="180">
        <f>3000000+2500000-500000</f>
        <v>5000000</v>
      </c>
      <c r="K54" s="180">
        <f>3000000+2500000-500000</f>
        <v>5000000</v>
      </c>
    </row>
    <row r="55" spans="1:11" s="8" customFormat="1">
      <c r="A55" s="27" t="s">
        <v>302</v>
      </c>
      <c r="B55" s="27" t="s">
        <v>303</v>
      </c>
      <c r="C55" s="28"/>
      <c r="D55" s="28">
        <v>2000000</v>
      </c>
      <c r="E55" s="29"/>
      <c r="F55" s="28"/>
      <c r="G55" s="28"/>
      <c r="H55" s="180"/>
      <c r="I55" s="180"/>
      <c r="J55" s="180"/>
      <c r="K55" s="180"/>
    </row>
    <row r="56" spans="1:11" s="8" customFormat="1" ht="20.399999999999999">
      <c r="A56" s="30" t="s">
        <v>19</v>
      </c>
      <c r="B56" s="31" t="s">
        <v>20</v>
      </c>
      <c r="C56" s="33">
        <f t="shared" ref="C56" si="35">SUM(C57:C58)</f>
        <v>2640000</v>
      </c>
      <c r="D56" s="33">
        <f t="shared" ref="D56" si="36">SUM(D57:D58)</f>
        <v>2640000</v>
      </c>
      <c r="E56" s="33">
        <f t="shared" ref="E56" si="37">SUM(E57:E58)</f>
        <v>922497.61</v>
      </c>
      <c r="F56" s="33">
        <f t="shared" ref="F56" si="38">SUM(F57:F58)</f>
        <v>2640000</v>
      </c>
      <c r="G56" s="33">
        <f t="shared" ref="G56" si="39">SUM(G57:G58)</f>
        <v>2640000</v>
      </c>
      <c r="H56" s="33">
        <f t="shared" ref="H56" si="40">SUM(H57:H58)</f>
        <v>2140000</v>
      </c>
      <c r="I56" s="33">
        <f t="shared" ref="I56" si="41">SUM(I57:I58)</f>
        <v>-500000</v>
      </c>
      <c r="J56" s="33">
        <f t="shared" ref="J56" si="42">SUM(J57:J58)</f>
        <v>2140000</v>
      </c>
      <c r="K56" s="33">
        <f t="shared" ref="K56" si="43">SUM(K57:K58)</f>
        <v>2140000</v>
      </c>
    </row>
    <row r="57" spans="1:11" s="8" customFormat="1">
      <c r="A57" s="27" t="s">
        <v>21</v>
      </c>
      <c r="B57" s="27" t="s">
        <v>22</v>
      </c>
      <c r="C57" s="28">
        <v>140000</v>
      </c>
      <c r="D57" s="28">
        <v>140000</v>
      </c>
      <c r="E57" s="29">
        <v>104800</v>
      </c>
      <c r="F57" s="28">
        <v>140000</v>
      </c>
      <c r="G57" s="28">
        <v>140000</v>
      </c>
      <c r="H57" s="28">
        <v>140000</v>
      </c>
      <c r="I57" s="28">
        <f>H57-D57</f>
        <v>0</v>
      </c>
      <c r="J57" s="28">
        <v>140000</v>
      </c>
      <c r="K57" s="28">
        <v>140000</v>
      </c>
    </row>
    <row r="58" spans="1:11" s="8" customFormat="1">
      <c r="A58" s="27" t="s">
        <v>105</v>
      </c>
      <c r="B58" s="27" t="s">
        <v>106</v>
      </c>
      <c r="C58" s="28">
        <v>2500000</v>
      </c>
      <c r="D58" s="28">
        <v>2500000</v>
      </c>
      <c r="E58" s="29">
        <v>817697.61</v>
      </c>
      <c r="F58" s="28">
        <v>2500000</v>
      </c>
      <c r="G58" s="28">
        <v>2500000</v>
      </c>
      <c r="H58" s="180">
        <f>2500000-500000</f>
        <v>2000000</v>
      </c>
      <c r="I58" s="180">
        <f>H58-D58</f>
        <v>-500000</v>
      </c>
      <c r="J58" s="180">
        <f>2500000-500000</f>
        <v>2000000</v>
      </c>
      <c r="K58" s="180">
        <f>2500000-500000</f>
        <v>2000000</v>
      </c>
    </row>
    <row r="59" spans="1:11" s="19" customFormat="1" ht="20.399999999999999">
      <c r="A59" s="16" t="s">
        <v>138</v>
      </c>
      <c r="B59" s="17" t="s">
        <v>139</v>
      </c>
      <c r="C59" s="18">
        <f t="shared" ref="C59:G59" si="44">SUM(C60)</f>
        <v>18013000</v>
      </c>
      <c r="D59" s="18">
        <f t="shared" si="44"/>
        <v>16013000</v>
      </c>
      <c r="E59" s="18">
        <f t="shared" si="44"/>
        <v>2431212.1300000004</v>
      </c>
      <c r="F59" s="18">
        <f t="shared" si="44"/>
        <v>18013000</v>
      </c>
      <c r="G59" s="18">
        <f t="shared" si="44"/>
        <v>18013000</v>
      </c>
      <c r="H59" s="18">
        <f>SUM(H60)</f>
        <v>16213000</v>
      </c>
      <c r="I59" s="18">
        <f t="shared" ref="I59:K59" si="45">SUM(I60)</f>
        <v>200000</v>
      </c>
      <c r="J59" s="18">
        <f t="shared" si="45"/>
        <v>16213000</v>
      </c>
      <c r="K59" s="18">
        <f t="shared" si="45"/>
        <v>16213000</v>
      </c>
    </row>
    <row r="60" spans="1:11" s="8" customFormat="1">
      <c r="A60" s="20" t="s">
        <v>17</v>
      </c>
      <c r="B60" s="21" t="s">
        <v>18</v>
      </c>
      <c r="C60" s="22">
        <f t="shared" ref="C60" si="46">SUM(C61,C66)</f>
        <v>18013000</v>
      </c>
      <c r="D60" s="22">
        <f t="shared" ref="D60" si="47">SUM(D61,D66)</f>
        <v>16013000</v>
      </c>
      <c r="E60" s="22">
        <f t="shared" ref="E60" si="48">SUM(E61,E66)</f>
        <v>2431212.1300000004</v>
      </c>
      <c r="F60" s="22">
        <f t="shared" ref="F60" si="49">SUM(F61,F66)</f>
        <v>18013000</v>
      </c>
      <c r="G60" s="22">
        <f t="shared" ref="G60" si="50">SUM(G61,G66)</f>
        <v>18013000</v>
      </c>
      <c r="H60" s="22">
        <f t="shared" ref="H60" si="51">SUM(H61,H66)</f>
        <v>16213000</v>
      </c>
      <c r="I60" s="22">
        <f t="shared" ref="I60" si="52">SUM(I61,I66)</f>
        <v>200000</v>
      </c>
      <c r="J60" s="22">
        <f t="shared" ref="J60" si="53">SUM(J61,J66)</f>
        <v>16213000</v>
      </c>
      <c r="K60" s="22">
        <f t="shared" ref="K60" si="54">SUM(K61,K66)</f>
        <v>16213000</v>
      </c>
    </row>
    <row r="61" spans="1:11" s="8" customFormat="1">
      <c r="A61" s="30" t="s">
        <v>27</v>
      </c>
      <c r="B61" s="31" t="s">
        <v>28</v>
      </c>
      <c r="C61" s="33">
        <f t="shared" ref="C61" si="55">SUM(C62:C65)</f>
        <v>5000000</v>
      </c>
      <c r="D61" s="33">
        <f t="shared" ref="D61" si="56">SUM(D62:D65)</f>
        <v>5000000</v>
      </c>
      <c r="E61" s="33">
        <f t="shared" ref="E61" si="57">SUM(E62:E65)</f>
        <v>0</v>
      </c>
      <c r="F61" s="33">
        <f t="shared" ref="F61" si="58">SUM(F62:F65)</f>
        <v>5000000</v>
      </c>
      <c r="G61" s="33">
        <f t="shared" ref="G61" si="59">SUM(G62:G65)</f>
        <v>5000000</v>
      </c>
      <c r="H61" s="33">
        <f t="shared" ref="H61" si="60">SUM(H62:H65)</f>
        <v>5000000</v>
      </c>
      <c r="I61" s="33">
        <f t="shared" ref="I61" si="61">SUM(I62:I65)</f>
        <v>0</v>
      </c>
      <c r="J61" s="33">
        <f t="shared" ref="J61" si="62">SUM(J62:J65)</f>
        <v>5000000</v>
      </c>
      <c r="K61" s="33">
        <f t="shared" ref="K61" si="63">SUM(K62:K65)</f>
        <v>5000000</v>
      </c>
    </row>
    <row r="62" spans="1:11" s="8" customFormat="1">
      <c r="A62" s="27" t="s">
        <v>29</v>
      </c>
      <c r="B62" s="27" t="s">
        <v>30</v>
      </c>
      <c r="C62" s="28">
        <v>1062000</v>
      </c>
      <c r="D62" s="28">
        <v>1062000</v>
      </c>
      <c r="E62" s="28"/>
      <c r="F62" s="28">
        <v>1062000</v>
      </c>
      <c r="G62" s="28">
        <v>1062000</v>
      </c>
      <c r="H62" s="28">
        <v>1062000</v>
      </c>
      <c r="I62" s="28">
        <f>H62-D62</f>
        <v>0</v>
      </c>
      <c r="J62" s="28">
        <v>1062000</v>
      </c>
      <c r="K62" s="28">
        <v>1062000</v>
      </c>
    </row>
    <row r="63" spans="1:11" s="8" customFormat="1">
      <c r="A63" s="27" t="s">
        <v>31</v>
      </c>
      <c r="B63" s="27" t="s">
        <v>32</v>
      </c>
      <c r="C63" s="28">
        <v>2585000</v>
      </c>
      <c r="D63" s="28">
        <v>2585000</v>
      </c>
      <c r="E63" s="28"/>
      <c r="F63" s="28">
        <v>2585000</v>
      </c>
      <c r="G63" s="28">
        <v>2585000</v>
      </c>
      <c r="H63" s="28">
        <v>2585000</v>
      </c>
      <c r="I63" s="28">
        <f>H63-D63</f>
        <v>0</v>
      </c>
      <c r="J63" s="28">
        <v>2585000</v>
      </c>
      <c r="K63" s="28">
        <v>2585000</v>
      </c>
    </row>
    <row r="64" spans="1:11" s="8" customFormat="1" ht="20.399999999999999">
      <c r="A64" s="27" t="s">
        <v>35</v>
      </c>
      <c r="B64" s="27" t="s">
        <v>36</v>
      </c>
      <c r="C64" s="28">
        <v>700000</v>
      </c>
      <c r="D64" s="28">
        <v>700000</v>
      </c>
      <c r="E64" s="28"/>
      <c r="F64" s="28">
        <v>700000</v>
      </c>
      <c r="G64" s="28">
        <v>700000</v>
      </c>
      <c r="H64" s="28">
        <v>700000</v>
      </c>
      <c r="I64" s="28">
        <f>H64-D64</f>
        <v>0</v>
      </c>
      <c r="J64" s="28">
        <v>700000</v>
      </c>
      <c r="K64" s="28">
        <v>700000</v>
      </c>
    </row>
    <row r="65" spans="1:11" s="8" customFormat="1">
      <c r="A65" s="27" t="s">
        <v>37</v>
      </c>
      <c r="B65" s="27" t="s">
        <v>38</v>
      </c>
      <c r="C65" s="28">
        <v>653000</v>
      </c>
      <c r="D65" s="28">
        <v>653000</v>
      </c>
      <c r="E65" s="28"/>
      <c r="F65" s="28">
        <v>653000</v>
      </c>
      <c r="G65" s="28">
        <v>653000</v>
      </c>
      <c r="H65" s="28">
        <v>653000</v>
      </c>
      <c r="I65" s="28">
        <f>H65-D65</f>
        <v>0</v>
      </c>
      <c r="J65" s="28">
        <v>653000</v>
      </c>
      <c r="K65" s="28">
        <v>653000</v>
      </c>
    </row>
    <row r="66" spans="1:11" s="8" customFormat="1">
      <c r="A66" s="30" t="s">
        <v>39</v>
      </c>
      <c r="B66" s="31" t="s">
        <v>40</v>
      </c>
      <c r="C66" s="33">
        <f t="shared" ref="C66" si="64">SUM(C67:C81)</f>
        <v>13013000</v>
      </c>
      <c r="D66" s="33">
        <f t="shared" ref="D66" si="65">SUM(D67:D81)</f>
        <v>11013000</v>
      </c>
      <c r="E66" s="33">
        <f t="shared" ref="E66" si="66">SUM(E67:E81)</f>
        <v>2431212.1300000004</v>
      </c>
      <c r="F66" s="33">
        <f t="shared" ref="F66" si="67">SUM(F67:F81)</f>
        <v>13013000</v>
      </c>
      <c r="G66" s="33">
        <f t="shared" ref="G66" si="68">SUM(G67:G81)</f>
        <v>13013000</v>
      </c>
      <c r="H66" s="33">
        <f t="shared" ref="H66" si="69">SUM(H67:H81)</f>
        <v>11213000</v>
      </c>
      <c r="I66" s="33">
        <f t="shared" ref="I66" si="70">SUM(I67:I81)</f>
        <v>200000</v>
      </c>
      <c r="J66" s="33">
        <f t="shared" ref="J66" si="71">SUM(J67:J81)</f>
        <v>11213000</v>
      </c>
      <c r="K66" s="33">
        <f t="shared" ref="K66" si="72">SUM(K67:K81)</f>
        <v>11213000</v>
      </c>
    </row>
    <row r="67" spans="1:11" s="8" customFormat="1">
      <c r="A67" s="27" t="s">
        <v>41</v>
      </c>
      <c r="B67" s="27" t="s">
        <v>42</v>
      </c>
      <c r="C67" s="28">
        <v>116000</v>
      </c>
      <c r="D67" s="28">
        <v>116000</v>
      </c>
      <c r="E67" s="29">
        <v>456</v>
      </c>
      <c r="F67" s="28">
        <v>116000</v>
      </c>
      <c r="G67" s="28">
        <v>116000</v>
      </c>
      <c r="H67" s="28">
        <v>116000</v>
      </c>
      <c r="I67" s="28">
        <f t="shared" ref="I67:I81" si="73">H67-D67</f>
        <v>0</v>
      </c>
      <c r="J67" s="28">
        <v>116000</v>
      </c>
      <c r="K67" s="28">
        <v>116000</v>
      </c>
    </row>
    <row r="68" spans="1:11" s="8" customFormat="1" ht="20.399999999999999">
      <c r="A68" s="27" t="s">
        <v>43</v>
      </c>
      <c r="B68" s="27" t="s">
        <v>44</v>
      </c>
      <c r="C68" s="28">
        <v>4900000</v>
      </c>
      <c r="D68" s="28">
        <v>4900000</v>
      </c>
      <c r="E68" s="28"/>
      <c r="F68" s="28">
        <v>4900000</v>
      </c>
      <c r="G68" s="28">
        <v>4900000</v>
      </c>
      <c r="H68" s="28">
        <v>4900000</v>
      </c>
      <c r="I68" s="28">
        <f t="shared" si="73"/>
        <v>0</v>
      </c>
      <c r="J68" s="28">
        <v>4900000</v>
      </c>
      <c r="K68" s="28">
        <v>4900000</v>
      </c>
    </row>
    <row r="69" spans="1:11" s="8" customFormat="1">
      <c r="A69" s="27" t="s">
        <v>47</v>
      </c>
      <c r="B69" s="27" t="s">
        <v>48</v>
      </c>
      <c r="C69" s="28">
        <v>100000</v>
      </c>
      <c r="D69" s="28">
        <v>100000</v>
      </c>
      <c r="E69" s="29">
        <v>147651.34</v>
      </c>
      <c r="F69" s="28">
        <v>100000</v>
      </c>
      <c r="G69" s="28">
        <v>100000</v>
      </c>
      <c r="H69" s="180">
        <f>100000+500000</f>
        <v>600000</v>
      </c>
      <c r="I69" s="180">
        <f t="shared" si="73"/>
        <v>500000</v>
      </c>
      <c r="J69" s="180">
        <f t="shared" ref="J69:K69" si="74">100000+500000</f>
        <v>600000</v>
      </c>
      <c r="K69" s="180">
        <f t="shared" si="74"/>
        <v>600000</v>
      </c>
    </row>
    <row r="70" spans="1:11" s="8" customFormat="1">
      <c r="A70" s="27" t="s">
        <v>49</v>
      </c>
      <c r="B70" s="27" t="s">
        <v>50</v>
      </c>
      <c r="C70" s="28">
        <v>50000</v>
      </c>
      <c r="D70" s="28">
        <v>50000</v>
      </c>
      <c r="E70" s="29">
        <v>6133.63</v>
      </c>
      <c r="F70" s="28">
        <v>50000</v>
      </c>
      <c r="G70" s="28">
        <v>50000</v>
      </c>
      <c r="H70" s="180">
        <v>50000</v>
      </c>
      <c r="I70" s="180">
        <f t="shared" si="73"/>
        <v>0</v>
      </c>
      <c r="J70" s="180">
        <v>50000</v>
      </c>
      <c r="K70" s="180">
        <v>50000</v>
      </c>
    </row>
    <row r="71" spans="1:11" s="8" customFormat="1">
      <c r="A71" s="27" t="s">
        <v>51</v>
      </c>
      <c r="B71" s="27" t="s">
        <v>52</v>
      </c>
      <c r="C71" s="28">
        <v>1300000</v>
      </c>
      <c r="D71" s="28">
        <v>1200000</v>
      </c>
      <c r="E71" s="29">
        <v>396243.49</v>
      </c>
      <c r="F71" s="28">
        <v>1300000</v>
      </c>
      <c r="G71" s="28">
        <v>1300000</v>
      </c>
      <c r="H71" s="180">
        <f>1300000-300000</f>
        <v>1000000</v>
      </c>
      <c r="I71" s="180">
        <f t="shared" si="73"/>
        <v>-200000</v>
      </c>
      <c r="J71" s="181">
        <f t="shared" ref="J71:K71" si="75">1300000-300000</f>
        <v>1000000</v>
      </c>
      <c r="K71" s="181">
        <f t="shared" si="75"/>
        <v>1000000</v>
      </c>
    </row>
    <row r="72" spans="1:11" s="8" customFormat="1">
      <c r="A72" s="27" t="s">
        <v>53</v>
      </c>
      <c r="B72" s="27" t="s">
        <v>54</v>
      </c>
      <c r="C72" s="28">
        <v>1500000</v>
      </c>
      <c r="D72" s="28">
        <v>1200000</v>
      </c>
      <c r="E72" s="29">
        <v>449112.05</v>
      </c>
      <c r="F72" s="28">
        <v>1500000</v>
      </c>
      <c r="G72" s="28">
        <v>1500000</v>
      </c>
      <c r="H72" s="180">
        <f>1500000-500000</f>
        <v>1000000</v>
      </c>
      <c r="I72" s="180">
        <f t="shared" si="73"/>
        <v>-200000</v>
      </c>
      <c r="J72" s="181">
        <f t="shared" ref="J72:K72" si="76">1500000-500000</f>
        <v>1000000</v>
      </c>
      <c r="K72" s="181">
        <f t="shared" si="76"/>
        <v>1000000</v>
      </c>
    </row>
    <row r="73" spans="1:11" s="8" customFormat="1" ht="20.399999999999999">
      <c r="A73" s="27" t="s">
        <v>55</v>
      </c>
      <c r="B73" s="27" t="s">
        <v>56</v>
      </c>
      <c r="C73" s="28">
        <v>50000</v>
      </c>
      <c r="D73" s="28">
        <v>50000</v>
      </c>
      <c r="E73" s="29">
        <v>8665.7199999999993</v>
      </c>
      <c r="F73" s="28">
        <v>50000</v>
      </c>
      <c r="G73" s="28">
        <v>50000</v>
      </c>
      <c r="H73" s="180">
        <v>50000</v>
      </c>
      <c r="I73" s="180">
        <f t="shared" si="73"/>
        <v>0</v>
      </c>
      <c r="J73" s="180">
        <v>50000</v>
      </c>
      <c r="K73" s="180">
        <v>50000</v>
      </c>
    </row>
    <row r="74" spans="1:11" s="8" customFormat="1">
      <c r="A74" s="27" t="s">
        <v>57</v>
      </c>
      <c r="B74" s="27" t="s">
        <v>58</v>
      </c>
      <c r="C74" s="28">
        <v>50000</v>
      </c>
      <c r="D74" s="28">
        <v>50000</v>
      </c>
      <c r="E74" s="29">
        <v>6405.9</v>
      </c>
      <c r="F74" s="28">
        <v>50000</v>
      </c>
      <c r="G74" s="28">
        <v>50000</v>
      </c>
      <c r="H74" s="180">
        <v>50000</v>
      </c>
      <c r="I74" s="180">
        <f t="shared" si="73"/>
        <v>0</v>
      </c>
      <c r="J74" s="180">
        <v>50000</v>
      </c>
      <c r="K74" s="180">
        <v>50000</v>
      </c>
    </row>
    <row r="75" spans="1:11" s="8" customFormat="1">
      <c r="A75" s="27" t="s">
        <v>63</v>
      </c>
      <c r="B75" s="27" t="s">
        <v>64</v>
      </c>
      <c r="C75" s="28">
        <v>1500000</v>
      </c>
      <c r="D75" s="28">
        <v>1400000</v>
      </c>
      <c r="E75" s="29">
        <v>643093.61</v>
      </c>
      <c r="F75" s="28">
        <v>1500000</v>
      </c>
      <c r="G75" s="28">
        <v>1500000</v>
      </c>
      <c r="H75" s="180">
        <v>1500000</v>
      </c>
      <c r="I75" s="180">
        <f t="shared" si="73"/>
        <v>100000</v>
      </c>
      <c r="J75" s="180">
        <v>1500000</v>
      </c>
      <c r="K75" s="180">
        <v>1500000</v>
      </c>
    </row>
    <row r="76" spans="1:11" s="8" customFormat="1">
      <c r="A76" s="27" t="s">
        <v>67</v>
      </c>
      <c r="B76" s="27" t="s">
        <v>68</v>
      </c>
      <c r="C76" s="28">
        <v>15000</v>
      </c>
      <c r="D76" s="28">
        <v>15000</v>
      </c>
      <c r="E76" s="29">
        <v>1810.81</v>
      </c>
      <c r="F76" s="28">
        <v>15000</v>
      </c>
      <c r="G76" s="28">
        <v>15000</v>
      </c>
      <c r="H76" s="180">
        <v>15000</v>
      </c>
      <c r="I76" s="180">
        <f t="shared" si="73"/>
        <v>0</v>
      </c>
      <c r="J76" s="180">
        <v>15000</v>
      </c>
      <c r="K76" s="180">
        <v>15000</v>
      </c>
    </row>
    <row r="77" spans="1:11" s="8" customFormat="1">
      <c r="A77" s="27" t="s">
        <v>69</v>
      </c>
      <c r="B77" s="27" t="s">
        <v>70</v>
      </c>
      <c r="C77" s="28">
        <v>2500000</v>
      </c>
      <c r="D77" s="28">
        <v>1500000</v>
      </c>
      <c r="E77" s="29">
        <v>675303.44</v>
      </c>
      <c r="F77" s="28">
        <v>2500000</v>
      </c>
      <c r="G77" s="28">
        <v>2500000</v>
      </c>
      <c r="H77" s="180">
        <f>2500000-1000000</f>
        <v>1500000</v>
      </c>
      <c r="I77" s="180">
        <f t="shared" si="73"/>
        <v>0</v>
      </c>
      <c r="J77" s="180">
        <f t="shared" ref="J77:K77" si="77">2500000-1000000</f>
        <v>1500000</v>
      </c>
      <c r="K77" s="180">
        <f t="shared" si="77"/>
        <v>1500000</v>
      </c>
    </row>
    <row r="78" spans="1:11" s="8" customFormat="1">
      <c r="A78" s="27" t="s">
        <v>71</v>
      </c>
      <c r="B78" s="27" t="s">
        <v>72</v>
      </c>
      <c r="C78" s="28">
        <v>25000</v>
      </c>
      <c r="D78" s="28">
        <v>25000</v>
      </c>
      <c r="E78" s="29">
        <v>2625.93</v>
      </c>
      <c r="F78" s="28">
        <v>25000</v>
      </c>
      <c r="G78" s="28">
        <v>25000</v>
      </c>
      <c r="H78" s="28">
        <v>25000</v>
      </c>
      <c r="I78" s="28">
        <f t="shared" si="73"/>
        <v>0</v>
      </c>
      <c r="J78" s="28">
        <v>25000</v>
      </c>
      <c r="K78" s="28">
        <v>25000</v>
      </c>
    </row>
    <row r="79" spans="1:11" s="8" customFormat="1">
      <c r="A79" s="27" t="s">
        <v>73</v>
      </c>
      <c r="B79" s="27" t="s">
        <v>74</v>
      </c>
      <c r="C79" s="28">
        <v>50000</v>
      </c>
      <c r="D79" s="28">
        <v>50000</v>
      </c>
      <c r="E79" s="29">
        <v>5095.32</v>
      </c>
      <c r="F79" s="28">
        <v>50000</v>
      </c>
      <c r="G79" s="28">
        <v>50000</v>
      </c>
      <c r="H79" s="28">
        <v>50000</v>
      </c>
      <c r="I79" s="28">
        <f t="shared" si="73"/>
        <v>0</v>
      </c>
      <c r="J79" s="28">
        <v>50000</v>
      </c>
      <c r="K79" s="28">
        <v>50000</v>
      </c>
    </row>
    <row r="80" spans="1:11" s="8" customFormat="1">
      <c r="A80" s="27" t="s">
        <v>75</v>
      </c>
      <c r="B80" s="27" t="s">
        <v>76</v>
      </c>
      <c r="C80" s="28">
        <v>850000</v>
      </c>
      <c r="D80" s="28">
        <v>350000</v>
      </c>
      <c r="E80" s="29">
        <v>86641.31</v>
      </c>
      <c r="F80" s="28">
        <v>850000</v>
      </c>
      <c r="G80" s="28">
        <v>850000</v>
      </c>
      <c r="H80" s="132">
        <f>850000-500000</f>
        <v>350000</v>
      </c>
      <c r="I80" s="132">
        <f t="shared" si="73"/>
        <v>0</v>
      </c>
      <c r="J80" s="132">
        <f t="shared" ref="J80:K80" si="78">850000-500000</f>
        <v>350000</v>
      </c>
      <c r="K80" s="132">
        <f t="shared" si="78"/>
        <v>350000</v>
      </c>
    </row>
    <row r="81" spans="1:11" s="8" customFormat="1">
      <c r="A81" s="27" t="s">
        <v>82</v>
      </c>
      <c r="B81" s="27" t="s">
        <v>83</v>
      </c>
      <c r="C81" s="28">
        <v>7000</v>
      </c>
      <c r="D81" s="28">
        <v>7000</v>
      </c>
      <c r="E81" s="29">
        <v>1973.58</v>
      </c>
      <c r="F81" s="28">
        <v>7000</v>
      </c>
      <c r="G81" s="28">
        <v>7000</v>
      </c>
      <c r="H81" s="28">
        <v>7000</v>
      </c>
      <c r="I81" s="28">
        <f t="shared" si="73"/>
        <v>0</v>
      </c>
      <c r="J81" s="28">
        <v>7000</v>
      </c>
      <c r="K81" s="28">
        <v>7000</v>
      </c>
    </row>
    <row r="82" spans="1:11" s="19" customFormat="1" ht="16.5" customHeight="1">
      <c r="A82" s="16" t="s">
        <v>140</v>
      </c>
      <c r="B82" s="17" t="s">
        <v>141</v>
      </c>
      <c r="C82" s="18">
        <f t="shared" ref="C82:G82" si="79">SUM(C83)</f>
        <v>22593000</v>
      </c>
      <c r="D82" s="18">
        <f t="shared" si="79"/>
        <v>22143000</v>
      </c>
      <c r="E82" s="18">
        <f t="shared" si="79"/>
        <v>984176.96000000008</v>
      </c>
      <c r="F82" s="18">
        <f t="shared" si="79"/>
        <v>3131000</v>
      </c>
      <c r="G82" s="18">
        <f t="shared" si="79"/>
        <v>0</v>
      </c>
      <c r="H82" s="18">
        <f>SUM(H83)</f>
        <v>6131000</v>
      </c>
      <c r="I82" s="18">
        <f t="shared" ref="I82:K82" si="80">SUM(I83)</f>
        <v>-16012000</v>
      </c>
      <c r="J82" s="18">
        <f t="shared" si="80"/>
        <v>0</v>
      </c>
      <c r="K82" s="18">
        <f t="shared" si="80"/>
        <v>0</v>
      </c>
    </row>
    <row r="83" spans="1:11" s="8" customFormat="1">
      <c r="A83" s="20" t="s">
        <v>17</v>
      </c>
      <c r="B83" s="21" t="s">
        <v>18</v>
      </c>
      <c r="C83" s="22">
        <f t="shared" ref="C83" si="81">SUM(C84)</f>
        <v>22593000</v>
      </c>
      <c r="D83" s="22">
        <f t="shared" ref="D83" si="82">SUM(D84)</f>
        <v>22143000</v>
      </c>
      <c r="E83" s="22">
        <f t="shared" ref="E83" si="83">SUM(E84)</f>
        <v>984176.96000000008</v>
      </c>
      <c r="F83" s="22">
        <f t="shared" ref="F83" si="84">SUM(F84)</f>
        <v>3131000</v>
      </c>
      <c r="G83" s="22">
        <f t="shared" ref="G83" si="85">SUM(G84)</f>
        <v>0</v>
      </c>
      <c r="H83" s="22">
        <f t="shared" ref="H83" si="86">SUM(H84)</f>
        <v>6131000</v>
      </c>
      <c r="I83" s="22">
        <f t="shared" ref="I83" si="87">SUM(I84)</f>
        <v>-16012000</v>
      </c>
      <c r="J83" s="22">
        <f t="shared" ref="J83" si="88">SUM(J84)</f>
        <v>0</v>
      </c>
      <c r="K83" s="22">
        <f t="shared" ref="K83" si="89">SUM(K84)</f>
        <v>0</v>
      </c>
    </row>
    <row r="84" spans="1:11" s="8" customFormat="1">
      <c r="A84" s="30" t="s">
        <v>39</v>
      </c>
      <c r="B84" s="31" t="s">
        <v>40</v>
      </c>
      <c r="C84" s="33">
        <f t="shared" ref="C84" si="90">SUM(C85:C88)</f>
        <v>22593000</v>
      </c>
      <c r="D84" s="33">
        <f t="shared" ref="D84" si="91">SUM(D85:D88)</f>
        <v>22143000</v>
      </c>
      <c r="E84" s="33">
        <f t="shared" ref="E84" si="92">SUM(E85:E88)</f>
        <v>984176.96000000008</v>
      </c>
      <c r="F84" s="33">
        <f t="shared" ref="F84" si="93">SUM(F85:F88)</f>
        <v>3131000</v>
      </c>
      <c r="G84" s="33">
        <f t="shared" ref="G84" si="94">SUM(G85:G88)</f>
        <v>0</v>
      </c>
      <c r="H84" s="33">
        <f t="shared" ref="H84" si="95">SUM(H85:H88)</f>
        <v>6131000</v>
      </c>
      <c r="I84" s="33">
        <f t="shared" ref="I84" si="96">SUM(I85:I88)</f>
        <v>-16012000</v>
      </c>
      <c r="J84" s="33">
        <f t="shared" ref="J84" si="97">SUM(J85:J88)</f>
        <v>0</v>
      </c>
      <c r="K84" s="33">
        <f t="shared" ref="K84" si="98">SUM(K85:K88)</f>
        <v>0</v>
      </c>
    </row>
    <row r="85" spans="1:11" s="8" customFormat="1">
      <c r="A85" s="27" t="s">
        <v>51</v>
      </c>
      <c r="B85" s="27" t="s">
        <v>52</v>
      </c>
      <c r="C85" s="28">
        <v>7000</v>
      </c>
      <c r="D85" s="28">
        <v>7000</v>
      </c>
      <c r="E85" s="28"/>
      <c r="F85" s="28">
        <v>7000</v>
      </c>
      <c r="G85" s="28"/>
      <c r="H85" s="28">
        <v>7000</v>
      </c>
      <c r="I85" s="28">
        <f>H85-D85</f>
        <v>0</v>
      </c>
      <c r="J85" s="28"/>
      <c r="K85" s="28"/>
    </row>
    <row r="86" spans="1:11" s="8" customFormat="1">
      <c r="A86" s="27" t="s">
        <v>73</v>
      </c>
      <c r="B86" s="27" t="s">
        <v>74</v>
      </c>
      <c r="C86" s="28">
        <v>292000</v>
      </c>
      <c r="D86" s="28">
        <v>92000</v>
      </c>
      <c r="E86" s="29">
        <v>20866.919999999998</v>
      </c>
      <c r="F86" s="28">
        <v>292000</v>
      </c>
      <c r="G86" s="28"/>
      <c r="H86" s="28">
        <v>292000</v>
      </c>
      <c r="I86" s="28">
        <f>H86-D86</f>
        <v>200000</v>
      </c>
      <c r="J86" s="28"/>
      <c r="K86" s="28"/>
    </row>
    <row r="87" spans="1:11" s="8" customFormat="1">
      <c r="A87" s="27" t="s">
        <v>75</v>
      </c>
      <c r="B87" s="27" t="s">
        <v>76</v>
      </c>
      <c r="C87" s="28">
        <v>21962000</v>
      </c>
      <c r="D87" s="28">
        <v>21712000</v>
      </c>
      <c r="E87" s="29">
        <v>944910.04</v>
      </c>
      <c r="F87" s="28">
        <v>2500000</v>
      </c>
      <c r="G87" s="28"/>
      <c r="H87" s="132">
        <f>2500000+3000000</f>
        <v>5500000</v>
      </c>
      <c r="I87" s="28">
        <f>H87-D87</f>
        <v>-16212000</v>
      </c>
      <c r="J87" s="28"/>
      <c r="K87" s="28"/>
    </row>
    <row r="88" spans="1:11" s="8" customFormat="1">
      <c r="A88" s="27" t="s">
        <v>92</v>
      </c>
      <c r="B88" s="27" t="s">
        <v>79</v>
      </c>
      <c r="C88" s="28">
        <v>332000</v>
      </c>
      <c r="D88" s="28">
        <v>332000</v>
      </c>
      <c r="E88" s="29">
        <v>18400</v>
      </c>
      <c r="F88" s="28">
        <v>332000</v>
      </c>
      <c r="G88" s="28"/>
      <c r="H88" s="28">
        <v>332000</v>
      </c>
      <c r="I88" s="28">
        <f>H88-D88</f>
        <v>0</v>
      </c>
      <c r="J88" s="28"/>
      <c r="K88" s="28"/>
    </row>
    <row r="89" spans="1:11" s="19" customFormat="1" ht="16.5" customHeight="1">
      <c r="A89" s="16" t="s">
        <v>142</v>
      </c>
      <c r="B89" s="17" t="s">
        <v>143</v>
      </c>
      <c r="C89" s="18">
        <f>SUM(C90)</f>
        <v>4391000</v>
      </c>
      <c r="D89" s="18">
        <f t="shared" ref="D89:K89" si="99">SUM(D90)</f>
        <v>3141000</v>
      </c>
      <c r="E89" s="18">
        <f t="shared" si="99"/>
        <v>754965.97999999986</v>
      </c>
      <c r="F89" s="18">
        <f t="shared" si="99"/>
        <v>3199000</v>
      </c>
      <c r="G89" s="18">
        <f t="shared" si="99"/>
        <v>3077000</v>
      </c>
      <c r="H89" s="18">
        <f t="shared" si="99"/>
        <v>4358000</v>
      </c>
      <c r="I89" s="18">
        <f t="shared" si="99"/>
        <v>1217000</v>
      </c>
      <c r="J89" s="18">
        <f t="shared" si="99"/>
        <v>3678500</v>
      </c>
      <c r="K89" s="18">
        <f t="shared" si="99"/>
        <v>3669000</v>
      </c>
    </row>
    <row r="90" spans="1:11" s="8" customFormat="1">
      <c r="A90" s="20" t="s">
        <v>17</v>
      </c>
      <c r="B90" s="21" t="s">
        <v>18</v>
      </c>
      <c r="C90" s="22">
        <f t="shared" ref="C90:H90" si="100">SUM(C91,C112,C114,C119)</f>
        <v>4391000</v>
      </c>
      <c r="D90" s="22">
        <f t="shared" si="100"/>
        <v>3141000</v>
      </c>
      <c r="E90" s="22">
        <f t="shared" si="100"/>
        <v>754965.97999999986</v>
      </c>
      <c r="F90" s="22">
        <f t="shared" si="100"/>
        <v>3199000</v>
      </c>
      <c r="G90" s="22">
        <f t="shared" si="100"/>
        <v>3077000</v>
      </c>
      <c r="H90" s="22">
        <f t="shared" si="100"/>
        <v>4358000</v>
      </c>
      <c r="I90" s="22">
        <f>SUM(I91,I112,I114,I119)</f>
        <v>1217000</v>
      </c>
      <c r="J90" s="22">
        <f t="shared" ref="J90:K90" si="101">SUM(J91,J112,J114,J119)</f>
        <v>3678500</v>
      </c>
      <c r="K90" s="22">
        <f t="shared" si="101"/>
        <v>3669000</v>
      </c>
    </row>
    <row r="91" spans="1:11" s="8" customFormat="1">
      <c r="A91" s="30" t="s">
        <v>39</v>
      </c>
      <c r="B91" s="31" t="s">
        <v>40</v>
      </c>
      <c r="C91" s="32">
        <f t="shared" ref="C91" si="102">SUM(C92:C111)</f>
        <v>2069000</v>
      </c>
      <c r="D91" s="32">
        <f t="shared" ref="D91" si="103">SUM(D92:D111)</f>
        <v>1232000</v>
      </c>
      <c r="E91" s="32">
        <f t="shared" ref="E91" si="104">SUM(E92:E111)</f>
        <v>310468.88999999996</v>
      </c>
      <c r="F91" s="32">
        <f t="shared" ref="F91" si="105">SUM(F92:F111)</f>
        <v>2003000</v>
      </c>
      <c r="G91" s="32">
        <f t="shared" ref="G91" si="106">SUM(G92:G111)</f>
        <v>1966000</v>
      </c>
      <c r="H91" s="32">
        <f t="shared" ref="H91" si="107">SUM(H92:H111)</f>
        <v>1708000</v>
      </c>
      <c r="I91" s="32">
        <f t="shared" ref="I91" si="108">SUM(I92:I111)</f>
        <v>476000</v>
      </c>
      <c r="J91" s="32">
        <f t="shared" ref="J91" si="109">SUM(J92:J111)</f>
        <v>2128500</v>
      </c>
      <c r="K91" s="32">
        <f t="shared" ref="K91" si="110">SUM(K92:K111)</f>
        <v>2099000</v>
      </c>
    </row>
    <row r="92" spans="1:11" s="8" customFormat="1">
      <c r="A92" s="27" t="s">
        <v>45</v>
      </c>
      <c r="B92" s="27" t="s">
        <v>46</v>
      </c>
      <c r="C92" s="28">
        <v>15000</v>
      </c>
      <c r="D92" s="28">
        <v>15000</v>
      </c>
      <c r="E92" s="29">
        <v>250</v>
      </c>
      <c r="F92" s="28">
        <v>13000</v>
      </c>
      <c r="G92" s="28">
        <v>11000</v>
      </c>
      <c r="H92" s="28">
        <v>35000</v>
      </c>
      <c r="I92" s="28">
        <f t="shared" ref="I92:I111" si="111">H92-D92</f>
        <v>20000</v>
      </c>
      <c r="J92" s="28">
        <v>35000</v>
      </c>
      <c r="K92" s="28">
        <v>35000</v>
      </c>
    </row>
    <row r="93" spans="1:11" s="8" customFormat="1">
      <c r="A93" s="27" t="s">
        <v>49</v>
      </c>
      <c r="B93" s="27" t="s">
        <v>50</v>
      </c>
      <c r="C93" s="28">
        <v>14000</v>
      </c>
      <c r="D93" s="28">
        <v>14000</v>
      </c>
      <c r="E93" s="29">
        <v>634.79999999999995</v>
      </c>
      <c r="F93" s="28">
        <v>14000</v>
      </c>
      <c r="G93" s="28">
        <v>14000</v>
      </c>
      <c r="H93" s="28">
        <v>20000</v>
      </c>
      <c r="I93" s="28">
        <f t="shared" si="111"/>
        <v>6000</v>
      </c>
      <c r="J93" s="28">
        <v>20000</v>
      </c>
      <c r="K93" s="28">
        <v>20000</v>
      </c>
    </row>
    <row r="94" spans="1:11" s="8" customFormat="1">
      <c r="A94" s="27" t="s">
        <v>51</v>
      </c>
      <c r="B94" s="27" t="s">
        <v>52</v>
      </c>
      <c r="C94" s="28">
        <v>20000</v>
      </c>
      <c r="D94" s="28">
        <v>20000</v>
      </c>
      <c r="E94" s="29">
        <v>48689.68</v>
      </c>
      <c r="F94" s="28">
        <v>20000</v>
      </c>
      <c r="G94" s="28">
        <v>20000</v>
      </c>
      <c r="H94" s="28">
        <v>60000</v>
      </c>
      <c r="I94" s="28">
        <f t="shared" si="111"/>
        <v>40000</v>
      </c>
      <c r="J94" s="28">
        <v>30000</v>
      </c>
      <c r="K94" s="28">
        <v>30000</v>
      </c>
    </row>
    <row r="95" spans="1:11" s="8" customFormat="1" ht="20.399999999999999">
      <c r="A95" s="27" t="s">
        <v>55</v>
      </c>
      <c r="B95" s="27" t="s">
        <v>56</v>
      </c>
      <c r="C95" s="28">
        <v>20000</v>
      </c>
      <c r="D95" s="28">
        <v>20000</v>
      </c>
      <c r="E95" s="29">
        <v>2709.68</v>
      </c>
      <c r="F95" s="28">
        <v>10000</v>
      </c>
      <c r="G95" s="28">
        <v>10000</v>
      </c>
      <c r="H95" s="28">
        <v>10000</v>
      </c>
      <c r="I95" s="28">
        <f t="shared" si="111"/>
        <v>-10000</v>
      </c>
      <c r="J95" s="28">
        <v>10000</v>
      </c>
      <c r="K95" s="28">
        <v>10000</v>
      </c>
    </row>
    <row r="96" spans="1:11" s="8" customFormat="1">
      <c r="A96" s="27" t="s">
        <v>57</v>
      </c>
      <c r="B96" s="27" t="s">
        <v>58</v>
      </c>
      <c r="C96" s="28">
        <v>12000</v>
      </c>
      <c r="D96" s="28">
        <v>12000</v>
      </c>
      <c r="E96" s="29">
        <v>3832.48</v>
      </c>
      <c r="F96" s="28">
        <v>12000</v>
      </c>
      <c r="G96" s="28">
        <v>12000</v>
      </c>
      <c r="H96" s="28">
        <v>20000</v>
      </c>
      <c r="I96" s="28">
        <f t="shared" si="111"/>
        <v>8000</v>
      </c>
      <c r="J96" s="28">
        <v>20000</v>
      </c>
      <c r="K96" s="28">
        <v>20000</v>
      </c>
    </row>
    <row r="97" spans="1:11" s="8" customFormat="1">
      <c r="A97" s="27" t="s">
        <v>59</v>
      </c>
      <c r="B97" s="27" t="s">
        <v>60</v>
      </c>
      <c r="C97" s="28">
        <v>700000</v>
      </c>
      <c r="D97" s="28">
        <v>113000</v>
      </c>
      <c r="E97" s="29">
        <v>15939.25</v>
      </c>
      <c r="F97" s="28">
        <v>650000</v>
      </c>
      <c r="G97" s="28">
        <v>600000</v>
      </c>
      <c r="H97" s="132">
        <f>605000-500000</f>
        <v>105000</v>
      </c>
      <c r="I97" s="28">
        <f t="shared" si="111"/>
        <v>-8000</v>
      </c>
      <c r="J97" s="28">
        <v>605000</v>
      </c>
      <c r="K97" s="28">
        <v>605000</v>
      </c>
    </row>
    <row r="98" spans="1:11" s="8" customFormat="1">
      <c r="A98" s="27" t="s">
        <v>61</v>
      </c>
      <c r="B98" s="27" t="s">
        <v>62</v>
      </c>
      <c r="C98" s="28">
        <v>50000</v>
      </c>
      <c r="D98" s="28"/>
      <c r="E98" s="28"/>
      <c r="F98" s="28">
        <v>50000</v>
      </c>
      <c r="G98" s="28">
        <v>50000</v>
      </c>
      <c r="H98" s="28">
        <v>50000</v>
      </c>
      <c r="I98" s="28">
        <f t="shared" si="111"/>
        <v>50000</v>
      </c>
      <c r="J98" s="28">
        <v>50000</v>
      </c>
      <c r="K98" s="28">
        <v>50000</v>
      </c>
    </row>
    <row r="99" spans="1:11" s="8" customFormat="1">
      <c r="A99" s="27" t="s">
        <v>63</v>
      </c>
      <c r="B99" s="27" t="s">
        <v>64</v>
      </c>
      <c r="C99" s="28">
        <v>334000</v>
      </c>
      <c r="D99" s="28">
        <v>284000</v>
      </c>
      <c r="E99" s="29">
        <v>61986.18</v>
      </c>
      <c r="F99" s="28">
        <v>365000</v>
      </c>
      <c r="G99" s="28">
        <v>380000</v>
      </c>
      <c r="H99" s="28">
        <v>300000</v>
      </c>
      <c r="I99" s="28">
        <f t="shared" si="111"/>
        <v>16000</v>
      </c>
      <c r="J99" s="28">
        <v>250000</v>
      </c>
      <c r="K99" s="28">
        <v>220000</v>
      </c>
    </row>
    <row r="100" spans="1:11" s="8" customFormat="1">
      <c r="A100" s="27" t="s">
        <v>65</v>
      </c>
      <c r="B100" s="27" t="s">
        <v>66</v>
      </c>
      <c r="C100" s="28">
        <v>70000</v>
      </c>
      <c r="D100" s="28">
        <v>70000</v>
      </c>
      <c r="E100" s="29">
        <v>37357.31</v>
      </c>
      <c r="F100" s="28">
        <v>45000</v>
      </c>
      <c r="G100" s="28">
        <v>45000</v>
      </c>
      <c r="H100" s="28">
        <v>70000</v>
      </c>
      <c r="I100" s="28">
        <f t="shared" si="111"/>
        <v>0</v>
      </c>
      <c r="J100" s="28">
        <v>70000</v>
      </c>
      <c r="K100" s="28">
        <v>70000</v>
      </c>
    </row>
    <row r="101" spans="1:11" s="8" customFormat="1">
      <c r="A101" s="27" t="s">
        <v>67</v>
      </c>
      <c r="B101" s="27" t="s">
        <v>68</v>
      </c>
      <c r="C101" s="28">
        <v>20000</v>
      </c>
      <c r="D101" s="28">
        <v>20000</v>
      </c>
      <c r="E101" s="29">
        <v>2285.81</v>
      </c>
      <c r="F101" s="28">
        <v>10000</v>
      </c>
      <c r="G101" s="28">
        <v>10000</v>
      </c>
      <c r="H101" s="28">
        <v>20000</v>
      </c>
      <c r="I101" s="28">
        <f t="shared" si="111"/>
        <v>0</v>
      </c>
      <c r="J101" s="28">
        <v>20000</v>
      </c>
      <c r="K101" s="28">
        <v>20000</v>
      </c>
    </row>
    <row r="102" spans="1:11" s="8" customFormat="1">
      <c r="A102" s="27" t="s">
        <v>69</v>
      </c>
      <c r="B102" s="27" t="s">
        <v>70</v>
      </c>
      <c r="C102" s="28">
        <v>23000</v>
      </c>
      <c r="D102" s="28">
        <v>23000</v>
      </c>
      <c r="E102" s="29">
        <v>30015.68</v>
      </c>
      <c r="F102" s="28">
        <v>23000</v>
      </c>
      <c r="G102" s="28">
        <v>23000</v>
      </c>
      <c r="H102" s="28">
        <v>202000</v>
      </c>
      <c r="I102" s="28">
        <f t="shared" si="111"/>
        <v>179000</v>
      </c>
      <c r="J102" s="28">
        <v>202000</v>
      </c>
      <c r="K102" s="28">
        <v>202000</v>
      </c>
    </row>
    <row r="103" spans="1:11" s="8" customFormat="1">
      <c r="A103" s="27" t="s">
        <v>71</v>
      </c>
      <c r="B103" s="27" t="s">
        <v>72</v>
      </c>
      <c r="C103" s="28">
        <v>4000</v>
      </c>
      <c r="D103" s="28">
        <v>4000</v>
      </c>
      <c r="E103" s="29">
        <v>143.56</v>
      </c>
      <c r="F103" s="28">
        <v>4000</v>
      </c>
      <c r="G103" s="28">
        <v>4000</v>
      </c>
      <c r="H103" s="28">
        <v>30000</v>
      </c>
      <c r="I103" s="28">
        <f t="shared" si="111"/>
        <v>26000</v>
      </c>
      <c r="J103" s="28">
        <v>30000</v>
      </c>
      <c r="K103" s="28">
        <v>30000</v>
      </c>
    </row>
    <row r="104" spans="1:11" s="8" customFormat="1">
      <c r="A104" s="27" t="s">
        <v>73</v>
      </c>
      <c r="B104" s="27" t="s">
        <v>74</v>
      </c>
      <c r="C104" s="28">
        <v>157000</v>
      </c>
      <c r="D104" s="28">
        <v>57000</v>
      </c>
      <c r="E104" s="29">
        <v>7113.53</v>
      </c>
      <c r="F104" s="28">
        <v>157000</v>
      </c>
      <c r="G104" s="28">
        <v>157000</v>
      </c>
      <c r="H104" s="28">
        <v>145000</v>
      </c>
      <c r="I104" s="28">
        <f t="shared" si="111"/>
        <v>88000</v>
      </c>
      <c r="J104" s="28">
        <v>145000</v>
      </c>
      <c r="K104" s="28">
        <v>145000</v>
      </c>
    </row>
    <row r="105" spans="1:11" s="8" customFormat="1">
      <c r="A105" s="27" t="s">
        <v>132</v>
      </c>
      <c r="B105" s="27" t="s">
        <v>133</v>
      </c>
      <c r="C105" s="28">
        <v>7000</v>
      </c>
      <c r="D105" s="28">
        <v>7000</v>
      </c>
      <c r="E105" s="28"/>
      <c r="F105" s="28">
        <v>7000</v>
      </c>
      <c r="G105" s="28">
        <v>7000</v>
      </c>
      <c r="H105" s="28">
        <v>7000</v>
      </c>
      <c r="I105" s="28">
        <f t="shared" si="111"/>
        <v>0</v>
      </c>
      <c r="J105" s="28">
        <v>7000</v>
      </c>
      <c r="K105" s="28">
        <v>7000</v>
      </c>
    </row>
    <row r="106" spans="1:11" s="8" customFormat="1">
      <c r="A106" s="27" t="s">
        <v>75</v>
      </c>
      <c r="B106" s="27" t="s">
        <v>76</v>
      </c>
      <c r="C106" s="28">
        <v>377000</v>
      </c>
      <c r="D106" s="28">
        <v>327000</v>
      </c>
      <c r="E106" s="29">
        <v>31117</v>
      </c>
      <c r="F106" s="28">
        <v>377000</v>
      </c>
      <c r="G106" s="28">
        <v>377000</v>
      </c>
      <c r="H106" s="28">
        <v>377000</v>
      </c>
      <c r="I106" s="28">
        <f t="shared" si="111"/>
        <v>50000</v>
      </c>
      <c r="J106" s="28">
        <v>377000</v>
      </c>
      <c r="K106" s="28">
        <v>377000</v>
      </c>
    </row>
    <row r="107" spans="1:11" s="8" customFormat="1">
      <c r="A107" s="27" t="s">
        <v>78</v>
      </c>
      <c r="B107" s="27" t="s">
        <v>77</v>
      </c>
      <c r="C107" s="28">
        <v>200000</v>
      </c>
      <c r="D107" s="28">
        <v>200000</v>
      </c>
      <c r="E107" s="29">
        <v>65799.58</v>
      </c>
      <c r="F107" s="28">
        <v>200000</v>
      </c>
      <c r="G107" s="28">
        <v>200000</v>
      </c>
      <c r="H107" s="28">
        <v>200000</v>
      </c>
      <c r="I107" s="28">
        <f t="shared" si="111"/>
        <v>0</v>
      </c>
      <c r="J107" s="28">
        <v>200000</v>
      </c>
      <c r="K107" s="28">
        <v>200000</v>
      </c>
    </row>
    <row r="108" spans="1:11" s="8" customFormat="1" ht="20.399999999999999">
      <c r="A108" s="27" t="s">
        <v>80</v>
      </c>
      <c r="B108" s="27" t="s">
        <v>81</v>
      </c>
      <c r="C108" s="28">
        <v>7000</v>
      </c>
      <c r="D108" s="28">
        <v>7000</v>
      </c>
      <c r="E108" s="28"/>
      <c r="F108" s="28">
        <v>7000</v>
      </c>
      <c r="G108" s="28">
        <v>7000</v>
      </c>
      <c r="H108" s="28"/>
      <c r="I108" s="28">
        <f t="shared" si="111"/>
        <v>-7000</v>
      </c>
      <c r="J108" s="28"/>
      <c r="K108" s="28"/>
    </row>
    <row r="109" spans="1:11" s="8" customFormat="1">
      <c r="A109" s="27">
        <v>3292</v>
      </c>
      <c r="B109" s="27" t="s">
        <v>83</v>
      </c>
      <c r="C109" s="28"/>
      <c r="D109" s="28"/>
      <c r="E109" s="28"/>
      <c r="F109" s="28"/>
      <c r="G109" s="28"/>
      <c r="H109" s="28">
        <v>2000</v>
      </c>
      <c r="I109" s="28">
        <f t="shared" si="111"/>
        <v>2000</v>
      </c>
      <c r="J109" s="28">
        <v>2500</v>
      </c>
      <c r="K109" s="28">
        <v>3000</v>
      </c>
    </row>
    <row r="110" spans="1:11" s="8" customFormat="1">
      <c r="A110" s="27" t="s">
        <v>84</v>
      </c>
      <c r="B110" s="27" t="s">
        <v>85</v>
      </c>
      <c r="C110" s="28">
        <v>9000</v>
      </c>
      <c r="D110" s="28">
        <v>9000</v>
      </c>
      <c r="E110" s="29">
        <v>1401.1</v>
      </c>
      <c r="F110" s="28">
        <v>9000</v>
      </c>
      <c r="G110" s="28">
        <v>9000</v>
      </c>
      <c r="H110" s="28">
        <v>5000</v>
      </c>
      <c r="I110" s="28">
        <f t="shared" si="111"/>
        <v>-4000</v>
      </c>
      <c r="J110" s="28">
        <v>5000</v>
      </c>
      <c r="K110" s="28">
        <v>5000</v>
      </c>
    </row>
    <row r="111" spans="1:11" s="8" customFormat="1">
      <c r="A111" s="27" t="s">
        <v>92</v>
      </c>
      <c r="B111" s="27" t="s">
        <v>79</v>
      </c>
      <c r="C111" s="28">
        <v>30000</v>
      </c>
      <c r="D111" s="28">
        <v>30000</v>
      </c>
      <c r="E111" s="29">
        <v>1193.25</v>
      </c>
      <c r="F111" s="28">
        <v>30000</v>
      </c>
      <c r="G111" s="28">
        <v>30000</v>
      </c>
      <c r="H111" s="28">
        <v>50000</v>
      </c>
      <c r="I111" s="28">
        <f t="shared" si="111"/>
        <v>20000</v>
      </c>
      <c r="J111" s="28">
        <v>50000</v>
      </c>
      <c r="K111" s="28">
        <v>50000</v>
      </c>
    </row>
    <row r="112" spans="1:11" s="8" customFormat="1" ht="20.399999999999999">
      <c r="A112" s="30" t="s">
        <v>19</v>
      </c>
      <c r="B112" s="31" t="s">
        <v>20</v>
      </c>
      <c r="C112" s="33">
        <f t="shared" ref="C112" si="112">SUM(C113)</f>
        <v>511000</v>
      </c>
      <c r="D112" s="33">
        <f t="shared" ref="D112" si="113">SUM(D113)</f>
        <v>511000</v>
      </c>
      <c r="E112" s="33">
        <f t="shared" ref="E112" si="114">SUM(E113)</f>
        <v>250000</v>
      </c>
      <c r="F112" s="33">
        <f t="shared" ref="F112" si="115">SUM(F113)</f>
        <v>511000</v>
      </c>
      <c r="G112" s="33">
        <f t="shared" ref="G112" si="116">SUM(G113)</f>
        <v>511000</v>
      </c>
      <c r="H112" s="33">
        <f t="shared" ref="H112" si="117">SUM(H113)</f>
        <v>465000</v>
      </c>
      <c r="I112" s="33">
        <f t="shared" ref="I112" si="118">SUM(I113)</f>
        <v>-46000</v>
      </c>
      <c r="J112" s="33">
        <f t="shared" ref="J112" si="119">SUM(J113)</f>
        <v>465000</v>
      </c>
      <c r="K112" s="33">
        <f t="shared" ref="K112" si="120">SUM(K113)</f>
        <v>465000</v>
      </c>
    </row>
    <row r="113" spans="1:11" s="8" customFormat="1">
      <c r="A113" s="27" t="s">
        <v>21</v>
      </c>
      <c r="B113" s="27" t="s">
        <v>22</v>
      </c>
      <c r="C113" s="28">
        <v>511000</v>
      </c>
      <c r="D113" s="28">
        <v>511000</v>
      </c>
      <c r="E113" s="29">
        <v>250000</v>
      </c>
      <c r="F113" s="28">
        <v>511000</v>
      </c>
      <c r="G113" s="28">
        <v>511000</v>
      </c>
      <c r="H113" s="28">
        <v>465000</v>
      </c>
      <c r="I113" s="28">
        <f>H113-D113</f>
        <v>-46000</v>
      </c>
      <c r="J113" s="28">
        <v>465000</v>
      </c>
      <c r="K113" s="28">
        <v>465000</v>
      </c>
    </row>
    <row r="114" spans="1:11" s="8" customFormat="1" ht="20.399999999999999">
      <c r="A114" s="30" t="s">
        <v>116</v>
      </c>
      <c r="B114" s="31" t="s">
        <v>117</v>
      </c>
      <c r="C114" s="33">
        <f t="shared" ref="C114" si="121">SUM(C115:C118)</f>
        <v>1745000</v>
      </c>
      <c r="D114" s="33">
        <f t="shared" ref="D114" si="122">SUM(D115:D118)</f>
        <v>1398000</v>
      </c>
      <c r="E114" s="33">
        <f t="shared" ref="E114" si="123">SUM(E115:E118)</f>
        <v>194497.09</v>
      </c>
      <c r="F114" s="33">
        <f t="shared" ref="F114" si="124">SUM(F115:F118)</f>
        <v>685000</v>
      </c>
      <c r="G114" s="33">
        <f t="shared" ref="G114" si="125">SUM(G115:G118)</f>
        <v>600000</v>
      </c>
      <c r="H114" s="33">
        <f t="shared" ref="H114" si="126">SUM(H115:H118)</f>
        <v>985000</v>
      </c>
      <c r="I114" s="33">
        <f t="shared" ref="I114" si="127">SUM(I115:I118)</f>
        <v>-413000</v>
      </c>
      <c r="J114" s="33">
        <f t="shared" ref="J114" si="128">SUM(J115:J118)</f>
        <v>965000</v>
      </c>
      <c r="K114" s="33">
        <f t="shared" ref="K114" si="129">SUM(K115:K118)</f>
        <v>955000</v>
      </c>
    </row>
    <row r="115" spans="1:11" s="8" customFormat="1">
      <c r="A115" s="27" t="s">
        <v>144</v>
      </c>
      <c r="B115" s="27" t="s">
        <v>145</v>
      </c>
      <c r="C115" s="28">
        <v>20000</v>
      </c>
      <c r="D115" s="28"/>
      <c r="E115" s="28"/>
      <c r="F115" s="28">
        <v>20000</v>
      </c>
      <c r="G115" s="28">
        <v>20000</v>
      </c>
      <c r="H115" s="28">
        <v>10000</v>
      </c>
      <c r="I115" s="28">
        <f>H115-D115</f>
        <v>10000</v>
      </c>
      <c r="J115" s="28">
        <v>10000</v>
      </c>
      <c r="K115" s="28">
        <v>10000</v>
      </c>
    </row>
    <row r="116" spans="1:11" s="8" customFormat="1">
      <c r="A116" s="27" t="s">
        <v>118</v>
      </c>
      <c r="B116" s="27" t="s">
        <v>119</v>
      </c>
      <c r="C116" s="28">
        <v>295000</v>
      </c>
      <c r="D116" s="28">
        <v>150000</v>
      </c>
      <c r="E116" s="29">
        <v>10899.88</v>
      </c>
      <c r="F116" s="28">
        <v>305000</v>
      </c>
      <c r="G116" s="28">
        <v>315000</v>
      </c>
      <c r="H116" s="28">
        <v>325000</v>
      </c>
      <c r="I116" s="28">
        <f>H116-D116</f>
        <v>175000</v>
      </c>
      <c r="J116" s="28">
        <v>335000</v>
      </c>
      <c r="K116" s="28">
        <v>335000</v>
      </c>
    </row>
    <row r="117" spans="1:11" s="8" customFormat="1">
      <c r="A117" s="27" t="s">
        <v>120</v>
      </c>
      <c r="B117" s="27" t="s">
        <v>121</v>
      </c>
      <c r="C117" s="28">
        <v>70000</v>
      </c>
      <c r="D117" s="28">
        <v>7000</v>
      </c>
      <c r="E117" s="29">
        <v>6010.4</v>
      </c>
      <c r="F117" s="28">
        <v>35000</v>
      </c>
      <c r="G117" s="28">
        <v>40000</v>
      </c>
      <c r="H117" s="28">
        <v>120000</v>
      </c>
      <c r="I117" s="28">
        <f>H117-D117</f>
        <v>113000</v>
      </c>
      <c r="J117" s="28">
        <v>90000</v>
      </c>
      <c r="K117" s="28">
        <v>80000</v>
      </c>
    </row>
    <row r="118" spans="1:11" s="8" customFormat="1">
      <c r="A118" s="27" t="s">
        <v>124</v>
      </c>
      <c r="B118" s="27" t="s">
        <v>125</v>
      </c>
      <c r="C118" s="28">
        <v>1360000</v>
      </c>
      <c r="D118" s="28">
        <v>1241000</v>
      </c>
      <c r="E118" s="29">
        <v>177586.81</v>
      </c>
      <c r="F118" s="28">
        <v>325000</v>
      </c>
      <c r="G118" s="28">
        <v>225000</v>
      </c>
      <c r="H118" s="28">
        <v>530000</v>
      </c>
      <c r="I118" s="28">
        <f>H118-D118</f>
        <v>-711000</v>
      </c>
      <c r="J118" s="28">
        <v>530000</v>
      </c>
      <c r="K118" s="28">
        <v>530000</v>
      </c>
    </row>
    <row r="119" spans="1:11" s="8" customFormat="1" ht="20.399999999999999">
      <c r="A119" s="30" t="s">
        <v>134</v>
      </c>
      <c r="B119" s="31" t="s">
        <v>135</v>
      </c>
      <c r="C119" s="33">
        <f t="shared" ref="C119" si="130">SUM(C120)</f>
        <v>66000</v>
      </c>
      <c r="D119" s="33">
        <f t="shared" ref="D119" si="131">SUM(D120)</f>
        <v>0</v>
      </c>
      <c r="E119" s="33">
        <f t="shared" ref="E119" si="132">SUM(E120)</f>
        <v>0</v>
      </c>
      <c r="F119" s="33">
        <f t="shared" ref="F119" si="133">SUM(F120)</f>
        <v>0</v>
      </c>
      <c r="G119" s="33">
        <f t="shared" ref="G119" si="134">SUM(G120)</f>
        <v>0</v>
      </c>
      <c r="H119" s="33">
        <f t="shared" ref="H119" si="135">SUM(H120)</f>
        <v>1200000</v>
      </c>
      <c r="I119" s="33">
        <f t="shared" ref="I119" si="136">SUM(I120)</f>
        <v>1200000</v>
      </c>
      <c r="J119" s="33">
        <f t="shared" ref="J119" si="137">SUM(J120)</f>
        <v>120000</v>
      </c>
      <c r="K119" s="33">
        <f t="shared" ref="K119" si="138">SUM(K120)</f>
        <v>150000</v>
      </c>
    </row>
    <row r="120" spans="1:11" s="8" customFormat="1">
      <c r="A120" s="27" t="s">
        <v>137</v>
      </c>
      <c r="B120" s="27" t="s">
        <v>136</v>
      </c>
      <c r="C120" s="28">
        <v>66000</v>
      </c>
      <c r="D120" s="28"/>
      <c r="E120" s="28"/>
      <c r="F120" s="28"/>
      <c r="G120" s="28"/>
      <c r="H120" s="132">
        <f>2200000-1000000</f>
        <v>1200000</v>
      </c>
      <c r="I120" s="28">
        <f>H120-D120</f>
        <v>1200000</v>
      </c>
      <c r="J120" s="28">
        <v>120000</v>
      </c>
      <c r="K120" s="28">
        <v>150000</v>
      </c>
    </row>
    <row r="121" spans="1:11" s="19" customFormat="1" ht="28.05" customHeight="1">
      <c r="A121" s="16" t="s">
        <v>146</v>
      </c>
      <c r="B121" s="17" t="s">
        <v>147</v>
      </c>
      <c r="C121" s="18">
        <f>SUM(C122)</f>
        <v>6870000</v>
      </c>
      <c r="D121" s="18">
        <f t="shared" ref="D121:K121" si="139">SUM(D122)</f>
        <v>5570000</v>
      </c>
      <c r="E121" s="18">
        <f t="shared" si="139"/>
        <v>1288855.8400000001</v>
      </c>
      <c r="F121" s="18">
        <f t="shared" si="139"/>
        <v>10370000</v>
      </c>
      <c r="G121" s="18">
        <f t="shared" si="139"/>
        <v>6470000</v>
      </c>
      <c r="H121" s="18">
        <f t="shared" si="139"/>
        <v>7870000</v>
      </c>
      <c r="I121" s="18">
        <f t="shared" si="139"/>
        <v>2300000</v>
      </c>
      <c r="J121" s="18">
        <f t="shared" si="139"/>
        <v>6370000</v>
      </c>
      <c r="K121" s="18">
        <f t="shared" si="139"/>
        <v>6370000</v>
      </c>
    </row>
    <row r="122" spans="1:11" s="8" customFormat="1">
      <c r="A122" s="20" t="s">
        <v>17</v>
      </c>
      <c r="B122" s="21" t="s">
        <v>18</v>
      </c>
      <c r="C122" s="22">
        <f t="shared" ref="C122" si="140">SUM(C132,C123)</f>
        <v>6870000</v>
      </c>
      <c r="D122" s="22">
        <f t="shared" ref="D122" si="141">SUM(D132,D123)</f>
        <v>5570000</v>
      </c>
      <c r="E122" s="22">
        <f t="shared" ref="E122" si="142">SUM(E132,E123)</f>
        <v>1288855.8400000001</v>
      </c>
      <c r="F122" s="22">
        <f t="shared" ref="F122" si="143">SUM(F132,F123)</f>
        <v>10370000</v>
      </c>
      <c r="G122" s="22">
        <f t="shared" ref="G122" si="144">SUM(G132,G123)</f>
        <v>6470000</v>
      </c>
      <c r="H122" s="22">
        <f t="shared" ref="H122" si="145">SUM(H132,H123)</f>
        <v>7870000</v>
      </c>
      <c r="I122" s="22">
        <f t="shared" ref="I122" si="146">SUM(I132,I123)</f>
        <v>2300000</v>
      </c>
      <c r="J122" s="22">
        <f t="shared" ref="J122" si="147">SUM(J132,J123)</f>
        <v>6370000</v>
      </c>
      <c r="K122" s="22">
        <f t="shared" ref="K122" si="148">SUM(K132,K123)</f>
        <v>6370000</v>
      </c>
    </row>
    <row r="123" spans="1:11" s="8" customFormat="1">
      <c r="A123" s="30" t="s">
        <v>39</v>
      </c>
      <c r="B123" s="31" t="s">
        <v>40</v>
      </c>
      <c r="C123" s="33">
        <f t="shared" ref="C123" si="149">SUM(C124:C131)</f>
        <v>6810000</v>
      </c>
      <c r="D123" s="33">
        <f t="shared" ref="D123" si="150">SUM(D124:D131)</f>
        <v>5510000</v>
      </c>
      <c r="E123" s="33">
        <f t="shared" ref="E123" si="151">SUM(E124:E131)</f>
        <v>1282539.3500000001</v>
      </c>
      <c r="F123" s="33">
        <f t="shared" ref="F123" si="152">SUM(F124:F131)</f>
        <v>10310000</v>
      </c>
      <c r="G123" s="33">
        <f t="shared" ref="G123" si="153">SUM(G124:G131)</f>
        <v>6410000</v>
      </c>
      <c r="H123" s="33">
        <f t="shared" ref="H123" si="154">SUM(H124:H131)</f>
        <v>7810000</v>
      </c>
      <c r="I123" s="33">
        <f t="shared" ref="I123" si="155">SUM(I124:I131)</f>
        <v>2300000</v>
      </c>
      <c r="J123" s="33">
        <f t="shared" ref="J123" si="156">SUM(J124:J131)</f>
        <v>6310000</v>
      </c>
      <c r="K123" s="33">
        <f t="shared" ref="K123" si="157">SUM(K124:K131)</f>
        <v>6310000</v>
      </c>
    </row>
    <row r="124" spans="1:11" s="8" customFormat="1">
      <c r="A124" s="27" t="s">
        <v>45</v>
      </c>
      <c r="B124" s="27" t="s">
        <v>46</v>
      </c>
      <c r="C124" s="28">
        <v>700000</v>
      </c>
      <c r="D124" s="28">
        <v>400000</v>
      </c>
      <c r="E124" s="29">
        <v>170545.7</v>
      </c>
      <c r="F124" s="28">
        <v>700000</v>
      </c>
      <c r="G124" s="28">
        <v>700000</v>
      </c>
      <c r="H124" s="28">
        <v>700000</v>
      </c>
      <c r="I124" s="28">
        <f t="shared" ref="I124:I131" si="158">H124-D124</f>
        <v>300000</v>
      </c>
      <c r="J124" s="28">
        <v>700000</v>
      </c>
      <c r="K124" s="28">
        <v>700000</v>
      </c>
    </row>
    <row r="125" spans="1:11" s="8" customFormat="1">
      <c r="A125" s="27" t="s">
        <v>49</v>
      </c>
      <c r="B125" s="27" t="s">
        <v>50</v>
      </c>
      <c r="C125" s="28">
        <v>200000</v>
      </c>
      <c r="D125" s="28">
        <v>200000</v>
      </c>
      <c r="E125" s="29">
        <v>28181.38</v>
      </c>
      <c r="F125" s="28">
        <v>200000</v>
      </c>
      <c r="G125" s="28">
        <v>200000</v>
      </c>
      <c r="H125" s="28">
        <v>200000</v>
      </c>
      <c r="I125" s="28">
        <f t="shared" si="158"/>
        <v>0</v>
      </c>
      <c r="J125" s="28">
        <v>200000</v>
      </c>
      <c r="K125" s="28">
        <v>200000</v>
      </c>
    </row>
    <row r="126" spans="1:11" s="8" customFormat="1">
      <c r="A126" s="27" t="s">
        <v>53</v>
      </c>
      <c r="B126" s="27" t="s">
        <v>54</v>
      </c>
      <c r="C126" s="28">
        <v>300000</v>
      </c>
      <c r="D126" s="28">
        <v>300000</v>
      </c>
      <c r="E126" s="29">
        <v>43098.98</v>
      </c>
      <c r="F126" s="28">
        <v>300000</v>
      </c>
      <c r="G126" s="28">
        <v>300000</v>
      </c>
      <c r="H126" s="28">
        <v>300000</v>
      </c>
      <c r="I126" s="28">
        <f t="shared" si="158"/>
        <v>0</v>
      </c>
      <c r="J126" s="28">
        <v>300000</v>
      </c>
      <c r="K126" s="28">
        <v>300000</v>
      </c>
    </row>
    <row r="127" spans="1:11" s="8" customFormat="1" ht="20.399999999999999">
      <c r="A127" s="27" t="s">
        <v>55</v>
      </c>
      <c r="B127" s="27" t="s">
        <v>56</v>
      </c>
      <c r="C127" s="28">
        <v>1500000</v>
      </c>
      <c r="D127" s="28">
        <v>500000</v>
      </c>
      <c r="E127" s="29">
        <v>252422.27</v>
      </c>
      <c r="F127" s="28">
        <v>2000000</v>
      </c>
      <c r="G127" s="28">
        <v>1600000</v>
      </c>
      <c r="H127" s="28">
        <v>2000000</v>
      </c>
      <c r="I127" s="28">
        <f t="shared" si="158"/>
        <v>1500000</v>
      </c>
      <c r="J127" s="28">
        <v>1500000</v>
      </c>
      <c r="K127" s="28">
        <v>1500000</v>
      </c>
    </row>
    <row r="128" spans="1:11" s="8" customFormat="1">
      <c r="A128" s="27" t="s">
        <v>57</v>
      </c>
      <c r="B128" s="27" t="s">
        <v>58</v>
      </c>
      <c r="C128" s="28">
        <v>40000</v>
      </c>
      <c r="D128" s="28">
        <v>40000</v>
      </c>
      <c r="E128" s="29">
        <v>5631.59</v>
      </c>
      <c r="F128" s="28">
        <v>40000</v>
      </c>
      <c r="G128" s="28">
        <v>40000</v>
      </c>
      <c r="H128" s="28">
        <v>40000</v>
      </c>
      <c r="I128" s="28">
        <f t="shared" si="158"/>
        <v>0</v>
      </c>
      <c r="J128" s="28">
        <v>40000</v>
      </c>
      <c r="K128" s="28">
        <v>40000</v>
      </c>
    </row>
    <row r="129" spans="1:11" s="8" customFormat="1">
      <c r="A129" s="27" t="s">
        <v>59</v>
      </c>
      <c r="B129" s="27" t="s">
        <v>60</v>
      </c>
      <c r="C129" s="28">
        <v>70000</v>
      </c>
      <c r="D129" s="28">
        <v>70000</v>
      </c>
      <c r="E129" s="29">
        <v>3200</v>
      </c>
      <c r="F129" s="28">
        <v>70000</v>
      </c>
      <c r="G129" s="28">
        <v>70000</v>
      </c>
      <c r="H129" s="28">
        <v>70000</v>
      </c>
      <c r="I129" s="28">
        <f t="shared" si="158"/>
        <v>0</v>
      </c>
      <c r="J129" s="28">
        <v>70000</v>
      </c>
      <c r="K129" s="28">
        <v>70000</v>
      </c>
    </row>
    <row r="130" spans="1:11" s="8" customFormat="1">
      <c r="A130" s="27" t="s">
        <v>63</v>
      </c>
      <c r="B130" s="27" t="s">
        <v>64</v>
      </c>
      <c r="C130" s="28">
        <v>3000000</v>
      </c>
      <c r="D130" s="28">
        <v>3000000</v>
      </c>
      <c r="E130" s="29">
        <v>152262.17000000001</v>
      </c>
      <c r="F130" s="28">
        <v>6000000</v>
      </c>
      <c r="G130" s="28">
        <v>2500000</v>
      </c>
      <c r="H130" s="180">
        <f>6000000-1000000-1500000</f>
        <v>3500000</v>
      </c>
      <c r="I130" s="180">
        <f t="shared" si="158"/>
        <v>500000</v>
      </c>
      <c r="J130" s="180">
        <f>3000000-500000</f>
        <v>2500000</v>
      </c>
      <c r="K130" s="180">
        <f>3000000-500000</f>
        <v>2500000</v>
      </c>
    </row>
    <row r="131" spans="1:11" s="8" customFormat="1">
      <c r="A131" s="27" t="s">
        <v>82</v>
      </c>
      <c r="B131" s="27" t="s">
        <v>83</v>
      </c>
      <c r="C131" s="28">
        <v>1000000</v>
      </c>
      <c r="D131" s="28">
        <v>1000000</v>
      </c>
      <c r="E131" s="29">
        <v>627197.26</v>
      </c>
      <c r="F131" s="28">
        <v>1000000</v>
      </c>
      <c r="G131" s="28">
        <v>1000000</v>
      </c>
      <c r="H131" s="28">
        <v>1000000</v>
      </c>
      <c r="I131" s="28">
        <f t="shared" si="158"/>
        <v>0</v>
      </c>
      <c r="J131" s="28">
        <v>1000000</v>
      </c>
      <c r="K131" s="28">
        <v>1000000</v>
      </c>
    </row>
    <row r="132" spans="1:11" s="8" customFormat="1" ht="20.399999999999999">
      <c r="A132" s="30" t="s">
        <v>116</v>
      </c>
      <c r="B132" s="31" t="s">
        <v>117</v>
      </c>
      <c r="C132" s="33">
        <f t="shared" ref="C132" si="159">SUM(C133)</f>
        <v>60000</v>
      </c>
      <c r="D132" s="33">
        <f t="shared" ref="D132" si="160">SUM(D133)</f>
        <v>60000</v>
      </c>
      <c r="E132" s="33">
        <f t="shared" ref="E132" si="161">SUM(E133)</f>
        <v>6316.49</v>
      </c>
      <c r="F132" s="33">
        <f t="shared" ref="F132" si="162">SUM(F133)</f>
        <v>60000</v>
      </c>
      <c r="G132" s="33">
        <f t="shared" ref="G132" si="163">SUM(G133)</f>
        <v>60000</v>
      </c>
      <c r="H132" s="33">
        <f t="shared" ref="H132" si="164">SUM(H133)</f>
        <v>60000</v>
      </c>
      <c r="I132" s="33">
        <f t="shared" ref="I132" si="165">SUM(I133)</f>
        <v>0</v>
      </c>
      <c r="J132" s="33">
        <f t="shared" ref="J132" si="166">SUM(J133)</f>
        <v>60000</v>
      </c>
      <c r="K132" s="33">
        <f t="shared" ref="K132" si="167">SUM(K133)</f>
        <v>60000</v>
      </c>
    </row>
    <row r="133" spans="1:11" s="8" customFormat="1">
      <c r="A133" s="27" t="s">
        <v>124</v>
      </c>
      <c r="B133" s="27" t="s">
        <v>125</v>
      </c>
      <c r="C133" s="28">
        <v>60000</v>
      </c>
      <c r="D133" s="28">
        <v>60000</v>
      </c>
      <c r="E133" s="29">
        <v>6316.49</v>
      </c>
      <c r="F133" s="28">
        <v>60000</v>
      </c>
      <c r="G133" s="28">
        <v>60000</v>
      </c>
      <c r="H133" s="28">
        <v>60000</v>
      </c>
      <c r="I133" s="28">
        <f>H133-D133</f>
        <v>0</v>
      </c>
      <c r="J133" s="28">
        <v>60000</v>
      </c>
      <c r="K133" s="28">
        <v>60000</v>
      </c>
    </row>
    <row r="134" spans="1:11" s="19" customFormat="1" ht="16.5" customHeight="1">
      <c r="A134" s="16" t="s">
        <v>148</v>
      </c>
      <c r="B134" s="17" t="s">
        <v>149</v>
      </c>
      <c r="C134" s="18">
        <f>SUM(C135)</f>
        <v>1000000</v>
      </c>
      <c r="D134" s="18">
        <f t="shared" ref="D134:K134" si="168">SUM(D135)</f>
        <v>1000000</v>
      </c>
      <c r="E134" s="18">
        <f t="shared" si="168"/>
        <v>500000</v>
      </c>
      <c r="F134" s="18">
        <f t="shared" si="168"/>
        <v>1000000</v>
      </c>
      <c r="G134" s="18">
        <f t="shared" si="168"/>
        <v>1000000</v>
      </c>
      <c r="H134" s="18">
        <f t="shared" si="168"/>
        <v>1000000</v>
      </c>
      <c r="I134" s="18">
        <f t="shared" si="168"/>
        <v>0</v>
      </c>
      <c r="J134" s="18">
        <f t="shared" si="168"/>
        <v>1000000</v>
      </c>
      <c r="K134" s="18">
        <f t="shared" si="168"/>
        <v>1000000</v>
      </c>
    </row>
    <row r="135" spans="1:11" s="8" customFormat="1">
      <c r="A135" s="20" t="s">
        <v>17</v>
      </c>
      <c r="B135" s="21" t="s">
        <v>18</v>
      </c>
      <c r="C135" s="22">
        <f t="shared" ref="C135" si="169">SUM(C136)</f>
        <v>1000000</v>
      </c>
      <c r="D135" s="22">
        <f t="shared" ref="D135" si="170">SUM(D136)</f>
        <v>1000000</v>
      </c>
      <c r="E135" s="22">
        <f t="shared" ref="E135" si="171">SUM(E136)</f>
        <v>500000</v>
      </c>
      <c r="F135" s="22">
        <f t="shared" ref="F135" si="172">SUM(F136)</f>
        <v>1000000</v>
      </c>
      <c r="G135" s="22">
        <f t="shared" ref="G135" si="173">SUM(G136)</f>
        <v>1000000</v>
      </c>
      <c r="H135" s="22">
        <f t="shared" ref="H135" si="174">SUM(H136)</f>
        <v>1000000</v>
      </c>
      <c r="I135" s="22">
        <f t="shared" ref="I135" si="175">SUM(I136)</f>
        <v>0</v>
      </c>
      <c r="J135" s="22">
        <f t="shared" ref="J135" si="176">SUM(J136)</f>
        <v>1000000</v>
      </c>
      <c r="K135" s="22">
        <f t="shared" ref="K135" si="177">SUM(K136)</f>
        <v>1000000</v>
      </c>
    </row>
    <row r="136" spans="1:11" s="8" customFormat="1" ht="20.399999999999999">
      <c r="A136" s="30" t="s">
        <v>19</v>
      </c>
      <c r="B136" s="31" t="s">
        <v>20</v>
      </c>
      <c r="C136" s="32">
        <f t="shared" ref="C136" si="178">SUM(C137)</f>
        <v>1000000</v>
      </c>
      <c r="D136" s="32">
        <f t="shared" ref="D136" si="179">SUM(D137)</f>
        <v>1000000</v>
      </c>
      <c r="E136" s="32">
        <f t="shared" ref="E136" si="180">SUM(E137)</f>
        <v>500000</v>
      </c>
      <c r="F136" s="32">
        <f t="shared" ref="F136" si="181">SUM(F137)</f>
        <v>1000000</v>
      </c>
      <c r="G136" s="32">
        <f t="shared" ref="G136" si="182">SUM(G137)</f>
        <v>1000000</v>
      </c>
      <c r="H136" s="32">
        <f t="shared" ref="H136" si="183">SUM(H137)</f>
        <v>1000000</v>
      </c>
      <c r="I136" s="32">
        <f t="shared" ref="I136" si="184">SUM(I137)</f>
        <v>0</v>
      </c>
      <c r="J136" s="32">
        <f t="shared" ref="J136" si="185">SUM(J137)</f>
        <v>1000000</v>
      </c>
      <c r="K136" s="32">
        <f t="shared" ref="K136" si="186">SUM(K137)</f>
        <v>1000000</v>
      </c>
    </row>
    <row r="137" spans="1:11" s="8" customFormat="1">
      <c r="A137" s="27" t="s">
        <v>21</v>
      </c>
      <c r="B137" s="27" t="s">
        <v>22</v>
      </c>
      <c r="C137" s="28">
        <v>1000000</v>
      </c>
      <c r="D137" s="28">
        <v>1000000</v>
      </c>
      <c r="E137" s="29">
        <v>500000</v>
      </c>
      <c r="F137" s="28">
        <v>1000000</v>
      </c>
      <c r="G137" s="28">
        <v>1000000</v>
      </c>
      <c r="H137" s="28">
        <v>1000000</v>
      </c>
      <c r="I137" s="28">
        <f>H137-D137</f>
        <v>0</v>
      </c>
      <c r="J137" s="180">
        <v>1000000</v>
      </c>
      <c r="K137" s="180">
        <v>1000000</v>
      </c>
    </row>
    <row r="138" spans="1:11" s="19" customFormat="1" ht="25.05" customHeight="1">
      <c r="A138" s="16" t="s">
        <v>150</v>
      </c>
      <c r="B138" s="17" t="s">
        <v>151</v>
      </c>
      <c r="C138" s="18">
        <f>SUM(C139)</f>
        <v>10000000</v>
      </c>
      <c r="D138" s="18">
        <f t="shared" ref="D138:K138" si="187">SUM(D139)</f>
        <v>500000</v>
      </c>
      <c r="E138" s="18">
        <f t="shared" si="187"/>
        <v>0</v>
      </c>
      <c r="F138" s="18">
        <f t="shared" si="187"/>
        <v>13400000</v>
      </c>
      <c r="G138" s="18">
        <f t="shared" si="187"/>
        <v>13400000</v>
      </c>
      <c r="H138" s="18">
        <f t="shared" si="187"/>
        <v>14000000</v>
      </c>
      <c r="I138" s="18">
        <f t="shared" si="187"/>
        <v>13500000</v>
      </c>
      <c r="J138" s="18">
        <f t="shared" si="187"/>
        <v>12200000</v>
      </c>
      <c r="K138" s="18">
        <f t="shared" si="187"/>
        <v>12200000</v>
      </c>
    </row>
    <row r="139" spans="1:11" s="8" customFormat="1">
      <c r="A139" s="20" t="s">
        <v>17</v>
      </c>
      <c r="B139" s="21" t="s">
        <v>18</v>
      </c>
      <c r="C139" s="22">
        <f t="shared" ref="C139" si="188">SUM(C140,C150,C152,C155)</f>
        <v>10000000</v>
      </c>
      <c r="D139" s="22">
        <f t="shared" ref="D139" si="189">SUM(D140,D150,D152,D155)</f>
        <v>500000</v>
      </c>
      <c r="E139" s="22">
        <f t="shared" ref="E139" si="190">SUM(E140,E150,E152,E155)</f>
        <v>0</v>
      </c>
      <c r="F139" s="22">
        <f t="shared" ref="F139" si="191">SUM(F140,F150,F152,F155)</f>
        <v>13400000</v>
      </c>
      <c r="G139" s="22">
        <f t="shared" ref="G139" si="192">SUM(G140,G150,G152,G155)</f>
        <v>13400000</v>
      </c>
      <c r="H139" s="22">
        <f t="shared" ref="H139" si="193">SUM(H140,H150,H152,H155)</f>
        <v>14000000</v>
      </c>
      <c r="I139" s="22">
        <f t="shared" ref="I139" si="194">SUM(I140,I150,I152,I155)</f>
        <v>13500000</v>
      </c>
      <c r="J139" s="22">
        <f t="shared" ref="J139" si="195">SUM(J140,J150,J152,J155)</f>
        <v>12200000</v>
      </c>
      <c r="K139" s="22">
        <f t="shared" ref="K139" si="196">SUM(K140,K150,K152,K155)</f>
        <v>12200000</v>
      </c>
    </row>
    <row r="140" spans="1:11" s="8" customFormat="1">
      <c r="A140" s="30" t="s">
        <v>39</v>
      </c>
      <c r="B140" s="31" t="s">
        <v>40</v>
      </c>
      <c r="C140" s="32">
        <f t="shared" ref="C140" si="197">SUM(C141:C149)</f>
        <v>6470000</v>
      </c>
      <c r="D140" s="32">
        <f t="shared" ref="D140" si="198">SUM(D141:D149)</f>
        <v>0</v>
      </c>
      <c r="E140" s="32">
        <f t="shared" ref="E140" si="199">SUM(E141:E149)</f>
        <v>0</v>
      </c>
      <c r="F140" s="32">
        <f t="shared" ref="F140" si="200">SUM(F141:F149)</f>
        <v>11100000</v>
      </c>
      <c r="G140" s="32">
        <f t="shared" ref="G140" si="201">SUM(G141:G149)</f>
        <v>11100000</v>
      </c>
      <c r="H140" s="32">
        <f t="shared" ref="H140" si="202">SUM(H141:H149)</f>
        <v>4400000</v>
      </c>
      <c r="I140" s="32">
        <f t="shared" ref="I140" si="203">SUM(I141:I149)</f>
        <v>4400000</v>
      </c>
      <c r="J140" s="32">
        <f t="shared" ref="J140" si="204">SUM(J141:J149)</f>
        <v>8400000</v>
      </c>
      <c r="K140" s="32">
        <f t="shared" ref="K140" si="205">SUM(K141:K149)</f>
        <v>8400000</v>
      </c>
    </row>
    <row r="141" spans="1:11" s="8" customFormat="1">
      <c r="A141" s="27" t="s">
        <v>53</v>
      </c>
      <c r="B141" s="27" t="s">
        <v>54</v>
      </c>
      <c r="C141" s="28">
        <v>10000</v>
      </c>
      <c r="D141" s="28"/>
      <c r="E141" s="28"/>
      <c r="F141" s="28">
        <v>250000</v>
      </c>
      <c r="G141" s="28">
        <v>250000</v>
      </c>
      <c r="H141" s="28">
        <v>250000</v>
      </c>
      <c r="I141" s="28">
        <f t="shared" ref="I141:I149" si="206">H141-D141</f>
        <v>250000</v>
      </c>
      <c r="J141" s="28">
        <v>250000</v>
      </c>
      <c r="K141" s="28">
        <v>250000</v>
      </c>
    </row>
    <row r="142" spans="1:11" s="8" customFormat="1">
      <c r="A142" s="27" t="s">
        <v>57</v>
      </c>
      <c r="B142" s="27" t="s">
        <v>58</v>
      </c>
      <c r="C142" s="28">
        <v>100000</v>
      </c>
      <c r="D142" s="28"/>
      <c r="E142" s="28"/>
      <c r="F142" s="28">
        <v>500000</v>
      </c>
      <c r="G142" s="28">
        <v>500000</v>
      </c>
      <c r="H142" s="28">
        <v>500000</v>
      </c>
      <c r="I142" s="28">
        <f t="shared" si="206"/>
        <v>500000</v>
      </c>
      <c r="J142" s="28">
        <v>500000</v>
      </c>
      <c r="K142" s="28">
        <v>500000</v>
      </c>
    </row>
    <row r="143" spans="1:11" s="8" customFormat="1">
      <c r="A143" s="27" t="s">
        <v>59</v>
      </c>
      <c r="B143" s="27" t="s">
        <v>60</v>
      </c>
      <c r="C143" s="28">
        <v>5000000</v>
      </c>
      <c r="D143" s="28"/>
      <c r="E143" s="28"/>
      <c r="F143" s="28">
        <v>4000000</v>
      </c>
      <c r="G143" s="28">
        <v>4000000</v>
      </c>
      <c r="H143" s="180">
        <f>4000000-4000000</f>
        <v>0</v>
      </c>
      <c r="I143" s="28">
        <f t="shared" si="206"/>
        <v>0</v>
      </c>
      <c r="J143" s="28">
        <v>4000000</v>
      </c>
      <c r="K143" s="28">
        <v>4000000</v>
      </c>
    </row>
    <row r="144" spans="1:11" s="8" customFormat="1">
      <c r="A144" s="27" t="s">
        <v>63</v>
      </c>
      <c r="B144" s="27" t="s">
        <v>64</v>
      </c>
      <c r="C144" s="28">
        <v>480000</v>
      </c>
      <c r="D144" s="28"/>
      <c r="E144" s="28"/>
      <c r="F144" s="28">
        <v>1760000</v>
      </c>
      <c r="G144" s="28">
        <v>1760000</v>
      </c>
      <c r="H144" s="28">
        <v>1760000</v>
      </c>
      <c r="I144" s="28">
        <f t="shared" si="206"/>
        <v>1760000</v>
      </c>
      <c r="J144" s="28">
        <v>1760000</v>
      </c>
      <c r="K144" s="28">
        <v>1760000</v>
      </c>
    </row>
    <row r="145" spans="1:11" s="8" customFormat="1">
      <c r="A145" s="27" t="s">
        <v>67</v>
      </c>
      <c r="B145" s="27" t="s">
        <v>68</v>
      </c>
      <c r="C145" s="28">
        <v>10000</v>
      </c>
      <c r="D145" s="28"/>
      <c r="E145" s="28"/>
      <c r="F145" s="28">
        <v>250000</v>
      </c>
      <c r="G145" s="28">
        <v>250000</v>
      </c>
      <c r="H145" s="28">
        <v>250000</v>
      </c>
      <c r="I145" s="28">
        <f t="shared" si="206"/>
        <v>250000</v>
      </c>
      <c r="J145" s="28">
        <v>250000</v>
      </c>
      <c r="K145" s="28">
        <v>250000</v>
      </c>
    </row>
    <row r="146" spans="1:11" s="8" customFormat="1">
      <c r="A146" s="27" t="s">
        <v>71</v>
      </c>
      <c r="B146" s="27" t="s">
        <v>72</v>
      </c>
      <c r="C146" s="28">
        <v>500000</v>
      </c>
      <c r="D146" s="28"/>
      <c r="E146" s="28"/>
      <c r="F146" s="28">
        <v>600000</v>
      </c>
      <c r="G146" s="28">
        <v>600000</v>
      </c>
      <c r="H146" s="28">
        <v>600000</v>
      </c>
      <c r="I146" s="28">
        <f t="shared" si="206"/>
        <v>600000</v>
      </c>
      <c r="J146" s="28">
        <v>600000</v>
      </c>
      <c r="K146" s="28">
        <v>600000</v>
      </c>
    </row>
    <row r="147" spans="1:11" s="8" customFormat="1">
      <c r="A147" s="27" t="s">
        <v>73</v>
      </c>
      <c r="B147" s="27" t="s">
        <v>74</v>
      </c>
      <c r="C147" s="28">
        <v>30000</v>
      </c>
      <c r="D147" s="28"/>
      <c r="E147" s="28"/>
      <c r="F147" s="28">
        <v>700000</v>
      </c>
      <c r="G147" s="28">
        <v>700000</v>
      </c>
      <c r="H147" s="28">
        <v>700000</v>
      </c>
      <c r="I147" s="28">
        <f t="shared" si="206"/>
        <v>700000</v>
      </c>
      <c r="J147" s="28">
        <v>700000</v>
      </c>
      <c r="K147" s="28">
        <v>700000</v>
      </c>
    </row>
    <row r="148" spans="1:11" s="8" customFormat="1">
      <c r="A148" s="27" t="s">
        <v>75</v>
      </c>
      <c r="B148" s="27" t="s">
        <v>76</v>
      </c>
      <c r="C148" s="28">
        <v>300000</v>
      </c>
      <c r="D148" s="28"/>
      <c r="E148" s="28"/>
      <c r="F148" s="28">
        <v>3000000</v>
      </c>
      <c r="G148" s="28">
        <v>3000000</v>
      </c>
      <c r="H148" s="180">
        <v>300000</v>
      </c>
      <c r="I148" s="28">
        <f t="shared" si="206"/>
        <v>300000</v>
      </c>
      <c r="J148" s="57">
        <v>300000</v>
      </c>
      <c r="K148" s="57">
        <v>300000</v>
      </c>
    </row>
    <row r="149" spans="1:11" s="8" customFormat="1">
      <c r="A149" s="27" t="s">
        <v>82</v>
      </c>
      <c r="B149" s="27" t="s">
        <v>83</v>
      </c>
      <c r="C149" s="28">
        <v>40000</v>
      </c>
      <c r="D149" s="28"/>
      <c r="E149" s="28"/>
      <c r="F149" s="28">
        <v>40000</v>
      </c>
      <c r="G149" s="28">
        <v>40000</v>
      </c>
      <c r="H149" s="28">
        <v>40000</v>
      </c>
      <c r="I149" s="28">
        <f t="shared" si="206"/>
        <v>40000</v>
      </c>
      <c r="J149" s="28">
        <v>40000</v>
      </c>
      <c r="K149" s="28">
        <v>40000</v>
      </c>
    </row>
    <row r="150" spans="1:11" s="8" customFormat="1" ht="20.399999999999999">
      <c r="A150" s="30" t="s">
        <v>101</v>
      </c>
      <c r="B150" s="31" t="s">
        <v>102</v>
      </c>
      <c r="C150" s="32">
        <f t="shared" ref="C150" si="207">SUM(C151)</f>
        <v>30000</v>
      </c>
      <c r="D150" s="32">
        <f t="shared" ref="D150" si="208">SUM(D151)</f>
        <v>0</v>
      </c>
      <c r="E150" s="32">
        <f t="shared" ref="E150" si="209">SUM(E151)</f>
        <v>0</v>
      </c>
      <c r="F150" s="32">
        <f t="shared" ref="F150" si="210">SUM(F151)</f>
        <v>1000000</v>
      </c>
      <c r="G150" s="32">
        <f t="shared" ref="G150" si="211">SUM(G151)</f>
        <v>1000000</v>
      </c>
      <c r="H150" s="32">
        <f t="shared" ref="H150" si="212">SUM(H151)</f>
        <v>3000000</v>
      </c>
      <c r="I150" s="32">
        <f t="shared" ref="I150" si="213">SUM(I151)</f>
        <v>3000000</v>
      </c>
      <c r="J150" s="32">
        <f t="shared" ref="J150" si="214">SUM(J151)</f>
        <v>3000000</v>
      </c>
      <c r="K150" s="32">
        <f t="shared" ref="K150" si="215">SUM(K151)</f>
        <v>3000000</v>
      </c>
    </row>
    <row r="151" spans="1:11" s="8" customFormat="1">
      <c r="A151" s="27" t="s">
        <v>103</v>
      </c>
      <c r="B151" s="27" t="s">
        <v>104</v>
      </c>
      <c r="C151" s="28">
        <v>30000</v>
      </c>
      <c r="D151" s="28"/>
      <c r="E151" s="28"/>
      <c r="F151" s="28">
        <v>1000000</v>
      </c>
      <c r="G151" s="28">
        <v>1000000</v>
      </c>
      <c r="H151" s="180">
        <f>3000000+2000000-1000000-1000000</f>
        <v>3000000</v>
      </c>
      <c r="I151" s="180">
        <f>H151-D151</f>
        <v>3000000</v>
      </c>
      <c r="J151" s="180">
        <f>5000000-2000000</f>
        <v>3000000</v>
      </c>
      <c r="K151" s="180">
        <f>5000000-2000000</f>
        <v>3000000</v>
      </c>
    </row>
    <row r="152" spans="1:11" s="8" customFormat="1" ht="20.399999999999999">
      <c r="A152" s="30" t="s">
        <v>116</v>
      </c>
      <c r="B152" s="31" t="s">
        <v>117</v>
      </c>
      <c r="C152" s="32">
        <f t="shared" ref="C152" si="216">SUM(C153:C154)</f>
        <v>500000</v>
      </c>
      <c r="D152" s="32">
        <f t="shared" ref="D152" si="217">SUM(D153:D154)</f>
        <v>0</v>
      </c>
      <c r="E152" s="32">
        <f t="shared" ref="E152" si="218">SUM(E153:E154)</f>
        <v>0</v>
      </c>
      <c r="F152" s="32">
        <f t="shared" ref="F152" si="219">SUM(F153:F154)</f>
        <v>300000</v>
      </c>
      <c r="G152" s="32">
        <f t="shared" ref="G152" si="220">SUM(G153:G154)</f>
        <v>300000</v>
      </c>
      <c r="H152" s="32">
        <f t="shared" ref="H152" si="221">SUM(H153:H154)</f>
        <v>600000</v>
      </c>
      <c r="I152" s="32">
        <f t="shared" ref="I152" si="222">SUM(I153:I154)</f>
        <v>600000</v>
      </c>
      <c r="J152" s="32">
        <f t="shared" ref="J152" si="223">SUM(J153:J154)</f>
        <v>300000</v>
      </c>
      <c r="K152" s="32">
        <f t="shared" ref="K152" si="224">SUM(K153:K154)</f>
        <v>300000</v>
      </c>
    </row>
    <row r="153" spans="1:11" s="8" customFormat="1">
      <c r="A153" s="27" t="s">
        <v>118</v>
      </c>
      <c r="B153" s="27" t="s">
        <v>119</v>
      </c>
      <c r="C153" s="28">
        <v>250000</v>
      </c>
      <c r="D153" s="28"/>
      <c r="E153" s="28"/>
      <c r="F153" s="28">
        <v>200000</v>
      </c>
      <c r="G153" s="28">
        <v>200000</v>
      </c>
      <c r="H153" s="28">
        <v>500000</v>
      </c>
      <c r="I153" s="28">
        <f>H153-D153</f>
        <v>500000</v>
      </c>
      <c r="J153" s="28">
        <v>200000</v>
      </c>
      <c r="K153" s="28">
        <v>200000</v>
      </c>
    </row>
    <row r="154" spans="1:11" s="8" customFormat="1">
      <c r="A154" s="27" t="s">
        <v>124</v>
      </c>
      <c r="B154" s="27" t="s">
        <v>125</v>
      </c>
      <c r="C154" s="28">
        <v>250000</v>
      </c>
      <c r="D154" s="28"/>
      <c r="E154" s="28"/>
      <c r="F154" s="28">
        <v>100000</v>
      </c>
      <c r="G154" s="28">
        <v>100000</v>
      </c>
      <c r="H154" s="28">
        <v>100000</v>
      </c>
      <c r="I154" s="28">
        <f>H154-D154</f>
        <v>100000</v>
      </c>
      <c r="J154" s="28">
        <v>100000</v>
      </c>
      <c r="K154" s="28">
        <v>100000</v>
      </c>
    </row>
    <row r="155" spans="1:11" s="8" customFormat="1" ht="20.399999999999999">
      <c r="A155" s="30" t="s">
        <v>134</v>
      </c>
      <c r="B155" s="31" t="s">
        <v>135</v>
      </c>
      <c r="C155" s="33">
        <f t="shared" ref="C155" si="225">SUM(C156)</f>
        <v>3000000</v>
      </c>
      <c r="D155" s="33">
        <f t="shared" ref="D155" si="226">SUM(D156)</f>
        <v>500000</v>
      </c>
      <c r="E155" s="33">
        <f t="shared" ref="E155" si="227">SUM(E156)</f>
        <v>0</v>
      </c>
      <c r="F155" s="33">
        <f t="shared" ref="F155" si="228">SUM(F156)</f>
        <v>1000000</v>
      </c>
      <c r="G155" s="33">
        <f t="shared" ref="G155" si="229">SUM(G156)</f>
        <v>1000000</v>
      </c>
      <c r="H155" s="33">
        <f t="shared" ref="H155" si="230">SUM(H156)</f>
        <v>6000000</v>
      </c>
      <c r="I155" s="33">
        <f t="shared" ref="I155" si="231">SUM(I156)</f>
        <v>5500000</v>
      </c>
      <c r="J155" s="33">
        <f t="shared" ref="J155" si="232">SUM(J156)</f>
        <v>500000</v>
      </c>
      <c r="K155" s="33">
        <f t="shared" ref="K155" si="233">SUM(K156)</f>
        <v>500000</v>
      </c>
    </row>
    <row r="156" spans="1:11" s="8" customFormat="1">
      <c r="A156" s="27" t="s">
        <v>137</v>
      </c>
      <c r="B156" s="27" t="s">
        <v>136</v>
      </c>
      <c r="C156" s="28">
        <v>3000000</v>
      </c>
      <c r="D156" s="28">
        <v>500000</v>
      </c>
      <c r="E156" s="28"/>
      <c r="F156" s="28">
        <v>1000000</v>
      </c>
      <c r="G156" s="28">
        <v>1000000</v>
      </c>
      <c r="H156" s="180">
        <f>5000000-1000000-1000000+3000000</f>
        <v>6000000</v>
      </c>
      <c r="I156" s="180">
        <f>H156-D156</f>
        <v>5500000</v>
      </c>
      <c r="J156" s="180">
        <f>1000000-500000</f>
        <v>500000</v>
      </c>
      <c r="K156" s="180">
        <f>1000000-500000</f>
        <v>500000</v>
      </c>
    </row>
    <row r="157" spans="1:11" s="19" customFormat="1" ht="16.5" customHeight="1">
      <c r="A157" s="35" t="s">
        <v>152</v>
      </c>
      <c r="B157" s="17" t="s">
        <v>153</v>
      </c>
      <c r="C157" s="18">
        <f>SUM(C158)</f>
        <v>18000000</v>
      </c>
      <c r="D157" s="18">
        <f t="shared" ref="D157:K157" si="234">SUM(D158)</f>
        <v>11400000</v>
      </c>
      <c r="E157" s="18">
        <f t="shared" si="234"/>
        <v>4194373.42</v>
      </c>
      <c r="F157" s="18">
        <f t="shared" si="234"/>
        <v>20000000</v>
      </c>
      <c r="G157" s="18">
        <f t="shared" si="234"/>
        <v>20000000</v>
      </c>
      <c r="H157" s="18">
        <f t="shared" si="234"/>
        <v>24000000</v>
      </c>
      <c r="I157" s="18">
        <f t="shared" si="234"/>
        <v>12600000</v>
      </c>
      <c r="J157" s="18">
        <f t="shared" si="234"/>
        <v>17000000</v>
      </c>
      <c r="K157" s="18">
        <f t="shared" si="234"/>
        <v>17000000</v>
      </c>
    </row>
    <row r="158" spans="1:11" s="8" customFormat="1">
      <c r="A158" s="20" t="s">
        <v>17</v>
      </c>
      <c r="B158" s="21" t="s">
        <v>18</v>
      </c>
      <c r="C158" s="22">
        <f t="shared" ref="C158" si="235">SUM(C164,C161,C159)</f>
        <v>18000000</v>
      </c>
      <c r="D158" s="22">
        <f t="shared" ref="D158" si="236">SUM(D164,D161,D159)</f>
        <v>11400000</v>
      </c>
      <c r="E158" s="22">
        <f t="shared" ref="E158" si="237">SUM(E164,E161,E159)</f>
        <v>4194373.42</v>
      </c>
      <c r="F158" s="22">
        <f t="shared" ref="F158" si="238">SUM(F164,F161,F159)</f>
        <v>20000000</v>
      </c>
      <c r="G158" s="22">
        <f t="shared" ref="G158" si="239">SUM(G164,G161,G159)</f>
        <v>20000000</v>
      </c>
      <c r="H158" s="22">
        <f t="shared" ref="H158" si="240">SUM(H164,H161,H159)</f>
        <v>24000000</v>
      </c>
      <c r="I158" s="22">
        <f t="shared" ref="I158" si="241">SUM(I164,I161,I159)</f>
        <v>12600000</v>
      </c>
      <c r="J158" s="22">
        <f t="shared" ref="J158" si="242">SUM(J164,J161,J159)</f>
        <v>17000000</v>
      </c>
      <c r="K158" s="22">
        <f t="shared" ref="K158" si="243">SUM(K164,K161,K159)</f>
        <v>17000000</v>
      </c>
    </row>
    <row r="159" spans="1:11" s="8" customFormat="1">
      <c r="A159" s="30" t="s">
        <v>39</v>
      </c>
      <c r="B159" s="31" t="s">
        <v>40</v>
      </c>
      <c r="C159" s="32">
        <f t="shared" ref="C159:H159" si="244">SUM(C160)</f>
        <v>2000000</v>
      </c>
      <c r="D159" s="32">
        <f t="shared" si="244"/>
        <v>400000</v>
      </c>
      <c r="E159" s="32">
        <f t="shared" si="244"/>
        <v>17309.349999999999</v>
      </c>
      <c r="F159" s="32">
        <f t="shared" si="244"/>
        <v>2000000</v>
      </c>
      <c r="G159" s="32">
        <f t="shared" si="244"/>
        <v>2000000</v>
      </c>
      <c r="H159" s="32">
        <f t="shared" si="244"/>
        <v>1000000</v>
      </c>
      <c r="I159" s="32">
        <f>SUM(I160)</f>
        <v>600000</v>
      </c>
      <c r="J159" s="32">
        <f t="shared" ref="J159:K159" si="245">SUM(J160)</f>
        <v>1000000</v>
      </c>
      <c r="K159" s="32">
        <f t="shared" si="245"/>
        <v>1000000</v>
      </c>
    </row>
    <row r="160" spans="1:11" s="8" customFormat="1">
      <c r="A160" s="27" t="s">
        <v>63</v>
      </c>
      <c r="B160" s="27" t="s">
        <v>64</v>
      </c>
      <c r="C160" s="28">
        <v>2000000</v>
      </c>
      <c r="D160" s="28">
        <v>400000</v>
      </c>
      <c r="E160" s="29">
        <v>17309.349999999999</v>
      </c>
      <c r="F160" s="28">
        <v>2000000</v>
      </c>
      <c r="G160" s="28">
        <v>2000000</v>
      </c>
      <c r="H160" s="180">
        <f>2000000-1000000</f>
        <v>1000000</v>
      </c>
      <c r="I160" s="180">
        <f>H160-D160</f>
        <v>600000</v>
      </c>
      <c r="J160" s="181">
        <f t="shared" ref="J160:K160" si="246">2000000-1000000</f>
        <v>1000000</v>
      </c>
      <c r="K160" s="181">
        <f t="shared" si="246"/>
        <v>1000000</v>
      </c>
    </row>
    <row r="161" spans="1:11" s="8" customFormat="1" ht="20.399999999999999">
      <c r="A161" s="30" t="s">
        <v>116</v>
      </c>
      <c r="B161" s="31" t="s">
        <v>117</v>
      </c>
      <c r="C161" s="33">
        <f t="shared" ref="C161:H161" si="247">SUM(C162:C163)</f>
        <v>5000000</v>
      </c>
      <c r="D161" s="33">
        <f t="shared" si="247"/>
        <v>3000000</v>
      </c>
      <c r="E161" s="33">
        <f t="shared" si="247"/>
        <v>796711.12</v>
      </c>
      <c r="F161" s="33">
        <f t="shared" si="247"/>
        <v>5000000</v>
      </c>
      <c r="G161" s="33">
        <f t="shared" si="247"/>
        <v>5000000</v>
      </c>
      <c r="H161" s="33">
        <f t="shared" si="247"/>
        <v>9000000</v>
      </c>
      <c r="I161" s="33">
        <f>SUM(I162:I163)</f>
        <v>6000000</v>
      </c>
      <c r="J161" s="33">
        <f t="shared" ref="J161:K161" si="248">SUM(J162:J163)</f>
        <v>5000000</v>
      </c>
      <c r="K161" s="33">
        <f t="shared" si="248"/>
        <v>5000000</v>
      </c>
    </row>
    <row r="162" spans="1:11" s="8" customFormat="1">
      <c r="A162" s="27" t="s">
        <v>154</v>
      </c>
      <c r="B162" s="27" t="s">
        <v>155</v>
      </c>
      <c r="C162" s="28">
        <v>4000000</v>
      </c>
      <c r="D162" s="28">
        <v>2700000</v>
      </c>
      <c r="E162" s="29">
        <v>778483.72</v>
      </c>
      <c r="F162" s="28">
        <v>4000000</v>
      </c>
      <c r="G162" s="28">
        <v>4000000</v>
      </c>
      <c r="H162" s="180">
        <f>17000000-4000000-2000000-4000000</f>
        <v>7000000</v>
      </c>
      <c r="I162" s="28">
        <f>H162-D162</f>
        <v>4300000</v>
      </c>
      <c r="J162" s="28">
        <v>4000000</v>
      </c>
      <c r="K162" s="28">
        <v>4000000</v>
      </c>
    </row>
    <row r="163" spans="1:11" s="8" customFormat="1">
      <c r="A163" s="27" t="s">
        <v>118</v>
      </c>
      <c r="B163" s="27" t="s">
        <v>119</v>
      </c>
      <c r="C163" s="28">
        <v>1000000</v>
      </c>
      <c r="D163" s="28">
        <v>300000</v>
      </c>
      <c r="E163" s="29">
        <v>18227.400000000001</v>
      </c>
      <c r="F163" s="28">
        <v>1000000</v>
      </c>
      <c r="G163" s="28">
        <v>1000000</v>
      </c>
      <c r="H163" s="28">
        <v>2000000</v>
      </c>
      <c r="I163" s="28">
        <f>H163-D163</f>
        <v>1700000</v>
      </c>
      <c r="J163" s="28">
        <v>1000000</v>
      </c>
      <c r="K163" s="28">
        <v>1000000</v>
      </c>
    </row>
    <row r="164" spans="1:11" s="8" customFormat="1" ht="20.399999999999999">
      <c r="A164" s="30" t="s">
        <v>134</v>
      </c>
      <c r="B164" s="31" t="s">
        <v>135</v>
      </c>
      <c r="C164" s="33">
        <f t="shared" ref="C164:H164" si="249">SUM(C165)</f>
        <v>11000000</v>
      </c>
      <c r="D164" s="33">
        <f t="shared" si="249"/>
        <v>8000000</v>
      </c>
      <c r="E164" s="33">
        <f t="shared" si="249"/>
        <v>3380352.95</v>
      </c>
      <c r="F164" s="33">
        <f t="shared" si="249"/>
        <v>13000000</v>
      </c>
      <c r="G164" s="33">
        <f t="shared" si="249"/>
        <v>13000000</v>
      </c>
      <c r="H164" s="33">
        <f t="shared" si="249"/>
        <v>14000000</v>
      </c>
      <c r="I164" s="33">
        <f>SUM(I165)</f>
        <v>6000000</v>
      </c>
      <c r="J164" s="33">
        <f t="shared" ref="J164:K164" si="250">SUM(J165)</f>
        <v>11000000</v>
      </c>
      <c r="K164" s="33">
        <f t="shared" si="250"/>
        <v>11000000</v>
      </c>
    </row>
    <row r="165" spans="1:11" s="8" customFormat="1">
      <c r="A165" s="27" t="s">
        <v>137</v>
      </c>
      <c r="B165" s="27" t="s">
        <v>136</v>
      </c>
      <c r="C165" s="28">
        <v>11000000</v>
      </c>
      <c r="D165" s="28">
        <v>8000000</v>
      </c>
      <c r="E165" s="29">
        <v>3380352.95</v>
      </c>
      <c r="F165" s="28">
        <v>13000000</v>
      </c>
      <c r="G165" s="28">
        <v>13000000</v>
      </c>
      <c r="H165" s="180">
        <f>20000000-1000000-5000000</f>
        <v>14000000</v>
      </c>
      <c r="I165" s="180">
        <f>H165-D165</f>
        <v>6000000</v>
      </c>
      <c r="J165" s="180">
        <f>13000000-2000000</f>
        <v>11000000</v>
      </c>
      <c r="K165" s="180">
        <f>13000000-2000000</f>
        <v>11000000</v>
      </c>
    </row>
    <row r="166" spans="1:11" s="19" customFormat="1" ht="20.25" customHeight="1">
      <c r="A166" s="16" t="s">
        <v>156</v>
      </c>
      <c r="B166" s="17" t="s">
        <v>157</v>
      </c>
      <c r="C166" s="18">
        <f>SUM(C167)</f>
        <v>32265000</v>
      </c>
      <c r="D166" s="18">
        <f t="shared" ref="D166:K166" si="251">SUM(D167)</f>
        <v>27265000</v>
      </c>
      <c r="E166" s="18">
        <f t="shared" si="251"/>
        <v>9119392.0899999999</v>
      </c>
      <c r="F166" s="18">
        <f t="shared" si="251"/>
        <v>28665000</v>
      </c>
      <c r="G166" s="18">
        <f t="shared" si="251"/>
        <v>28675000</v>
      </c>
      <c r="H166" s="18">
        <f t="shared" si="251"/>
        <v>30245000</v>
      </c>
      <c r="I166" s="18">
        <f t="shared" si="251"/>
        <v>2980000</v>
      </c>
      <c r="J166" s="18">
        <f t="shared" si="251"/>
        <v>31207000</v>
      </c>
      <c r="K166" s="18">
        <f t="shared" si="251"/>
        <v>30641000</v>
      </c>
    </row>
    <row r="167" spans="1:11" s="8" customFormat="1">
      <c r="A167" s="20" t="s">
        <v>17</v>
      </c>
      <c r="B167" s="21" t="s">
        <v>18</v>
      </c>
      <c r="C167" s="22">
        <f t="shared" ref="C167" si="252">SUM(C176,C174,C168)</f>
        <v>32265000</v>
      </c>
      <c r="D167" s="22">
        <f t="shared" ref="D167" si="253">SUM(D176,D174,D168)</f>
        <v>27265000</v>
      </c>
      <c r="E167" s="22">
        <f t="shared" ref="E167" si="254">SUM(E176,E174,E168)</f>
        <v>9119392.0899999999</v>
      </c>
      <c r="F167" s="22">
        <f t="shared" ref="F167" si="255">SUM(F176,F174,F168)</f>
        <v>28665000</v>
      </c>
      <c r="G167" s="22">
        <f t="shared" ref="G167" si="256">SUM(G176,G174,G168)</f>
        <v>28675000</v>
      </c>
      <c r="H167" s="22">
        <f t="shared" ref="H167" si="257">SUM(H176,H174,H168)</f>
        <v>30245000</v>
      </c>
      <c r="I167" s="22">
        <f t="shared" ref="I167" si="258">SUM(I176,I174,I168)</f>
        <v>2980000</v>
      </c>
      <c r="J167" s="22">
        <f t="shared" ref="J167" si="259">SUM(J176,J174,J168)</f>
        <v>31207000</v>
      </c>
      <c r="K167" s="22">
        <f t="shared" ref="K167" si="260">SUM(K176,K174,K168)</f>
        <v>30641000</v>
      </c>
    </row>
    <row r="168" spans="1:11" s="8" customFormat="1">
      <c r="A168" s="30" t="s">
        <v>39</v>
      </c>
      <c r="B168" s="31" t="s">
        <v>40</v>
      </c>
      <c r="C168" s="33">
        <f t="shared" ref="C168" si="261">SUM(C169:C173)</f>
        <v>17595000</v>
      </c>
      <c r="D168" s="33">
        <f t="shared" ref="D168" si="262">SUM(D169:D173)</f>
        <v>16800000</v>
      </c>
      <c r="E168" s="33">
        <f t="shared" ref="E168" si="263">SUM(E169:E173)</f>
        <v>7066038.5899999999</v>
      </c>
      <c r="F168" s="33">
        <f t="shared" ref="F168" si="264">SUM(F169:F173)</f>
        <v>17595000</v>
      </c>
      <c r="G168" s="33">
        <f t="shared" ref="G168" si="265">SUM(G169:G173)</f>
        <v>17595000</v>
      </c>
      <c r="H168" s="33">
        <f t="shared" ref="H168" si="266">SUM(H169:H173)</f>
        <v>18595000</v>
      </c>
      <c r="I168" s="33">
        <f t="shared" ref="I168" si="267">SUM(I169:I173)</f>
        <v>1795000</v>
      </c>
      <c r="J168" s="33">
        <f t="shared" ref="J168" si="268">SUM(J169:J173)</f>
        <v>18595000</v>
      </c>
      <c r="K168" s="33">
        <f t="shared" ref="K168" si="269">SUM(K169:K173)</f>
        <v>18595000</v>
      </c>
    </row>
    <row r="169" spans="1:11" s="8" customFormat="1">
      <c r="A169" s="27" t="s">
        <v>51</v>
      </c>
      <c r="B169" s="27" t="s">
        <v>52</v>
      </c>
      <c r="C169" s="28">
        <v>1062000</v>
      </c>
      <c r="D169" s="28">
        <v>562000</v>
      </c>
      <c r="E169" s="29">
        <v>224219.4</v>
      </c>
      <c r="F169" s="28">
        <v>1062000</v>
      </c>
      <c r="G169" s="28">
        <v>1062000</v>
      </c>
      <c r="H169" s="28">
        <v>1062000</v>
      </c>
      <c r="I169" s="28">
        <f>H169-D169</f>
        <v>500000</v>
      </c>
      <c r="J169" s="28">
        <v>1062000</v>
      </c>
      <c r="K169" s="28">
        <v>1062000</v>
      </c>
    </row>
    <row r="170" spans="1:11" s="8" customFormat="1">
      <c r="A170" s="27" t="s">
        <v>57</v>
      </c>
      <c r="B170" s="27" t="s">
        <v>58</v>
      </c>
      <c r="C170" s="28">
        <v>133000</v>
      </c>
      <c r="D170" s="28">
        <v>133000</v>
      </c>
      <c r="E170" s="29">
        <v>83995.06</v>
      </c>
      <c r="F170" s="28">
        <v>133000</v>
      </c>
      <c r="G170" s="28">
        <v>133000</v>
      </c>
      <c r="H170" s="28">
        <v>133000</v>
      </c>
      <c r="I170" s="28">
        <f>H170-D170</f>
        <v>0</v>
      </c>
      <c r="J170" s="28">
        <v>133000</v>
      </c>
      <c r="K170" s="28">
        <v>133000</v>
      </c>
    </row>
    <row r="171" spans="1:11" s="8" customFormat="1">
      <c r="A171" s="27" t="s">
        <v>59</v>
      </c>
      <c r="B171" s="27" t="s">
        <v>60</v>
      </c>
      <c r="C171" s="28">
        <v>15000000</v>
      </c>
      <c r="D171" s="28">
        <v>15000000</v>
      </c>
      <c r="E171" s="29">
        <v>6409893.8200000003</v>
      </c>
      <c r="F171" s="28">
        <v>15000000</v>
      </c>
      <c r="G171" s="28">
        <v>15000000</v>
      </c>
      <c r="H171" s="180">
        <f>17000000-1000000</f>
        <v>16000000</v>
      </c>
      <c r="I171" s="180">
        <f>H171-D171</f>
        <v>1000000</v>
      </c>
      <c r="J171" s="180">
        <f t="shared" ref="J171:K171" si="270">17000000-1000000</f>
        <v>16000000</v>
      </c>
      <c r="K171" s="180">
        <f t="shared" si="270"/>
        <v>16000000</v>
      </c>
    </row>
    <row r="172" spans="1:11" s="8" customFormat="1">
      <c r="A172" s="27" t="s">
        <v>69</v>
      </c>
      <c r="B172" s="27" t="s">
        <v>70</v>
      </c>
      <c r="C172" s="28">
        <v>1000000</v>
      </c>
      <c r="D172" s="28">
        <v>805000</v>
      </c>
      <c r="E172" s="29">
        <v>238840</v>
      </c>
      <c r="F172" s="28">
        <v>1000000</v>
      </c>
      <c r="G172" s="28">
        <v>1000000</v>
      </c>
      <c r="H172" s="28">
        <v>1000000</v>
      </c>
      <c r="I172" s="28">
        <f>H172-D172</f>
        <v>195000</v>
      </c>
      <c r="J172" s="28">
        <v>1000000</v>
      </c>
      <c r="K172" s="28">
        <v>1000000</v>
      </c>
    </row>
    <row r="173" spans="1:11" s="8" customFormat="1">
      <c r="A173" s="27" t="s">
        <v>92</v>
      </c>
      <c r="B173" s="27" t="s">
        <v>79</v>
      </c>
      <c r="C173" s="28">
        <v>400000</v>
      </c>
      <c r="D173" s="28">
        <v>300000</v>
      </c>
      <c r="E173" s="29">
        <v>109090.31</v>
      </c>
      <c r="F173" s="28">
        <v>400000</v>
      </c>
      <c r="G173" s="28">
        <v>400000</v>
      </c>
      <c r="H173" s="28">
        <v>400000</v>
      </c>
      <c r="I173" s="28">
        <f>H173-D173</f>
        <v>100000</v>
      </c>
      <c r="J173" s="28">
        <v>400000</v>
      </c>
      <c r="K173" s="28">
        <v>400000</v>
      </c>
    </row>
    <row r="174" spans="1:11" s="8" customFormat="1">
      <c r="A174" s="30" t="s">
        <v>93</v>
      </c>
      <c r="B174" s="31" t="s">
        <v>94</v>
      </c>
      <c r="C174" s="33">
        <f t="shared" ref="C174" si="271">SUM(C175)</f>
        <v>420000</v>
      </c>
      <c r="D174" s="33">
        <f t="shared" ref="D174" si="272">SUM(D175)</f>
        <v>395000</v>
      </c>
      <c r="E174" s="33">
        <f t="shared" ref="E174" si="273">SUM(E175)</f>
        <v>144242.56</v>
      </c>
      <c r="F174" s="33">
        <f t="shared" ref="F174" si="274">SUM(F175)</f>
        <v>320000</v>
      </c>
      <c r="G174" s="33">
        <f t="shared" ref="G174" si="275">SUM(G175)</f>
        <v>230000</v>
      </c>
      <c r="H174" s="33">
        <f t="shared" ref="H174" si="276">SUM(H175)</f>
        <v>600000</v>
      </c>
      <c r="I174" s="33">
        <f t="shared" ref="I174" si="277">SUM(I175)</f>
        <v>205000</v>
      </c>
      <c r="J174" s="33">
        <f t="shared" ref="J174" si="278">SUM(J175)</f>
        <v>462000</v>
      </c>
      <c r="K174" s="33">
        <f t="shared" ref="K174" si="279">SUM(K175)</f>
        <v>296000</v>
      </c>
    </row>
    <row r="175" spans="1:11" s="8" customFormat="1" ht="20.399999999999999">
      <c r="A175" s="27" t="s">
        <v>158</v>
      </c>
      <c r="B175" s="27" t="s">
        <v>159</v>
      </c>
      <c r="C175" s="28">
        <v>420000</v>
      </c>
      <c r="D175" s="28">
        <v>395000</v>
      </c>
      <c r="E175" s="29">
        <v>144242.56</v>
      </c>
      <c r="F175" s="28">
        <v>320000</v>
      </c>
      <c r="G175" s="28">
        <v>230000</v>
      </c>
      <c r="H175" s="57">
        <v>600000</v>
      </c>
      <c r="I175" s="28">
        <f>H175-D175</f>
        <v>205000</v>
      </c>
      <c r="J175" s="28">
        <v>462000</v>
      </c>
      <c r="K175" s="28">
        <v>296000</v>
      </c>
    </row>
    <row r="176" spans="1:11" s="8" customFormat="1" ht="20.399999999999999">
      <c r="A176" s="30" t="s">
        <v>116</v>
      </c>
      <c r="B176" s="31" t="s">
        <v>117</v>
      </c>
      <c r="C176" s="33">
        <f t="shared" ref="C176" si="280">SUM(C177:C181)</f>
        <v>14250000</v>
      </c>
      <c r="D176" s="33">
        <f t="shared" ref="D176" si="281">SUM(D177:D181)</f>
        <v>10070000</v>
      </c>
      <c r="E176" s="33">
        <f t="shared" ref="E176" si="282">SUM(E177:E181)</f>
        <v>1909110.94</v>
      </c>
      <c r="F176" s="33">
        <f t="shared" ref="F176" si="283">SUM(F177:F181)</f>
        <v>10750000</v>
      </c>
      <c r="G176" s="33">
        <f t="shared" ref="G176" si="284">SUM(G177:G181)</f>
        <v>10850000</v>
      </c>
      <c r="H176" s="33">
        <f t="shared" ref="H176" si="285">SUM(H177:H181)</f>
        <v>11050000</v>
      </c>
      <c r="I176" s="33">
        <f t="shared" ref="I176" si="286">SUM(I177:I181)</f>
        <v>980000</v>
      </c>
      <c r="J176" s="33">
        <f t="shared" ref="J176" si="287">SUM(J177:J181)</f>
        <v>12150000</v>
      </c>
      <c r="K176" s="33">
        <f t="shared" ref="K176" si="288">SUM(K177:K181)</f>
        <v>11750000</v>
      </c>
    </row>
    <row r="177" spans="1:11" s="8" customFormat="1">
      <c r="A177" s="27" t="s">
        <v>118</v>
      </c>
      <c r="B177" s="27" t="s">
        <v>119</v>
      </c>
      <c r="C177" s="28">
        <v>1600000</v>
      </c>
      <c r="D177" s="28">
        <v>1000000</v>
      </c>
      <c r="E177" s="29">
        <v>66344.800000000003</v>
      </c>
      <c r="F177" s="28">
        <v>1600000</v>
      </c>
      <c r="G177" s="28">
        <v>1600000</v>
      </c>
      <c r="H177" s="28">
        <v>1600000</v>
      </c>
      <c r="I177" s="28">
        <f>H177-D177</f>
        <v>600000</v>
      </c>
      <c r="J177" s="28">
        <v>1600000</v>
      </c>
      <c r="K177" s="28">
        <v>1600000</v>
      </c>
    </row>
    <row r="178" spans="1:11" s="8" customFormat="1">
      <c r="A178" s="27" t="s">
        <v>122</v>
      </c>
      <c r="B178" s="27" t="s">
        <v>123</v>
      </c>
      <c r="C178" s="28">
        <v>7500000</v>
      </c>
      <c r="D178" s="28">
        <v>5000000</v>
      </c>
      <c r="E178" s="29">
        <v>371664.55</v>
      </c>
      <c r="F178" s="28">
        <v>4000000</v>
      </c>
      <c r="G178" s="28">
        <v>4000000</v>
      </c>
      <c r="H178" s="180">
        <f>5000000-1000000-1000000</f>
        <v>3000000</v>
      </c>
      <c r="I178" s="180">
        <f>H178-D178</f>
        <v>-2000000</v>
      </c>
      <c r="J178" s="180">
        <f t="shared" ref="J178:K178" si="289">5000000-1000000</f>
        <v>4000000</v>
      </c>
      <c r="K178" s="180">
        <f t="shared" si="289"/>
        <v>4000000</v>
      </c>
    </row>
    <row r="179" spans="1:11" s="8" customFormat="1">
      <c r="A179" s="27" t="s">
        <v>124</v>
      </c>
      <c r="B179" s="27" t="s">
        <v>125</v>
      </c>
      <c r="C179" s="28">
        <v>2000000</v>
      </c>
      <c r="D179" s="28">
        <v>1500000</v>
      </c>
      <c r="E179" s="29">
        <v>484590.11</v>
      </c>
      <c r="F179" s="28">
        <v>2000000</v>
      </c>
      <c r="G179" s="28">
        <v>2000000</v>
      </c>
      <c r="H179" s="28">
        <v>2000000</v>
      </c>
      <c r="I179" s="28">
        <f>H179-D179</f>
        <v>500000</v>
      </c>
      <c r="J179" s="28">
        <v>2000000</v>
      </c>
      <c r="K179" s="28">
        <v>2000000</v>
      </c>
    </row>
    <row r="180" spans="1:11" s="8" customFormat="1">
      <c r="A180" s="27" t="s">
        <v>160</v>
      </c>
      <c r="B180" s="27" t="s">
        <v>161</v>
      </c>
      <c r="C180" s="28">
        <v>3000000</v>
      </c>
      <c r="D180" s="28">
        <v>2500000</v>
      </c>
      <c r="E180" s="29">
        <v>960921.48</v>
      </c>
      <c r="F180" s="28">
        <v>3000000</v>
      </c>
      <c r="G180" s="28">
        <v>3100000</v>
      </c>
      <c r="H180" s="57">
        <v>4300000</v>
      </c>
      <c r="I180" s="28">
        <f>H180-D180</f>
        <v>1800000</v>
      </c>
      <c r="J180" s="28">
        <v>4400000</v>
      </c>
      <c r="K180" s="28">
        <v>4000000</v>
      </c>
    </row>
    <row r="181" spans="1:11" s="8" customFormat="1">
      <c r="A181" s="27" t="s">
        <v>162</v>
      </c>
      <c r="B181" s="27" t="s">
        <v>163</v>
      </c>
      <c r="C181" s="28">
        <v>150000</v>
      </c>
      <c r="D181" s="28">
        <v>70000</v>
      </c>
      <c r="E181" s="29">
        <v>25590</v>
      </c>
      <c r="F181" s="28">
        <v>150000</v>
      </c>
      <c r="G181" s="28">
        <v>150000</v>
      </c>
      <c r="H181" s="57">
        <v>150000</v>
      </c>
      <c r="I181" s="28">
        <f>H181-D181</f>
        <v>80000</v>
      </c>
      <c r="J181" s="28">
        <v>150000</v>
      </c>
      <c r="K181" s="28">
        <v>150000</v>
      </c>
    </row>
    <row r="182" spans="1:11" s="19" customFormat="1" ht="20.25" customHeight="1">
      <c r="A182" s="16" t="s">
        <v>164</v>
      </c>
      <c r="B182" s="17" t="s">
        <v>165</v>
      </c>
      <c r="C182" s="18">
        <f>SUM(C183)</f>
        <v>3330000</v>
      </c>
      <c r="D182" s="18">
        <f t="shared" ref="D182:K182" si="290">SUM(D183)</f>
        <v>1330000</v>
      </c>
      <c r="E182" s="18">
        <f t="shared" si="290"/>
        <v>1299680.6700000002</v>
      </c>
      <c r="F182" s="18">
        <f t="shared" si="290"/>
        <v>3330000</v>
      </c>
      <c r="G182" s="18">
        <f t="shared" si="290"/>
        <v>3330000</v>
      </c>
      <c r="H182" s="18">
        <f t="shared" si="290"/>
        <v>782000</v>
      </c>
      <c r="I182" s="18">
        <f t="shared" si="290"/>
        <v>-548000</v>
      </c>
      <c r="J182" s="18">
        <f t="shared" si="290"/>
        <v>782000</v>
      </c>
      <c r="K182" s="18">
        <f t="shared" si="290"/>
        <v>2200000</v>
      </c>
    </row>
    <row r="183" spans="1:11" s="8" customFormat="1">
      <c r="A183" s="20" t="s">
        <v>17</v>
      </c>
      <c r="B183" s="21" t="s">
        <v>18</v>
      </c>
      <c r="C183" s="22">
        <f t="shared" ref="C183" si="291">SUM(C187,C184)</f>
        <v>3330000</v>
      </c>
      <c r="D183" s="22">
        <f t="shared" ref="D183" si="292">SUM(D187,D184)</f>
        <v>1330000</v>
      </c>
      <c r="E183" s="22">
        <f t="shared" ref="E183" si="293">SUM(E187,E184)</f>
        <v>1299680.6700000002</v>
      </c>
      <c r="F183" s="22">
        <f t="shared" ref="F183" si="294">SUM(F187,F184)</f>
        <v>3330000</v>
      </c>
      <c r="G183" s="22">
        <f t="shared" ref="G183" si="295">SUM(G187,G184)</f>
        <v>3330000</v>
      </c>
      <c r="H183" s="22">
        <f t="shared" ref="H183" si="296">SUM(H187,H184)</f>
        <v>782000</v>
      </c>
      <c r="I183" s="22">
        <f t="shared" ref="I183" si="297">SUM(I187,I184)</f>
        <v>-548000</v>
      </c>
      <c r="J183" s="22">
        <f t="shared" ref="J183" si="298">SUM(J187,J184)</f>
        <v>782000</v>
      </c>
      <c r="K183" s="22">
        <f t="shared" ref="K183" si="299">SUM(K187,K184)</f>
        <v>2200000</v>
      </c>
    </row>
    <row r="184" spans="1:11" s="8" customFormat="1">
      <c r="A184" s="30" t="s">
        <v>39</v>
      </c>
      <c r="B184" s="31" t="s">
        <v>40</v>
      </c>
      <c r="C184" s="33">
        <f t="shared" ref="C184" si="300">SUM(C185:C186)</f>
        <v>3248000</v>
      </c>
      <c r="D184" s="33">
        <f t="shared" ref="D184" si="301">SUM(D185:D186)</f>
        <v>1248000</v>
      </c>
      <c r="E184" s="33">
        <f t="shared" ref="E184" si="302">SUM(E185:E186)</f>
        <v>1281180.6700000002</v>
      </c>
      <c r="F184" s="33">
        <f t="shared" ref="F184" si="303">SUM(F185:F186)</f>
        <v>3248000</v>
      </c>
      <c r="G184" s="33">
        <f t="shared" ref="G184" si="304">SUM(G185:G186)</f>
        <v>3248000</v>
      </c>
      <c r="H184" s="33">
        <f t="shared" ref="H184" si="305">SUM(H185:H186)</f>
        <v>700000</v>
      </c>
      <c r="I184" s="33">
        <f t="shared" ref="I184" si="306">SUM(I185:I186)</f>
        <v>-548000</v>
      </c>
      <c r="J184" s="33">
        <f t="shared" ref="J184" si="307">SUM(J185:J186)</f>
        <v>700000</v>
      </c>
      <c r="K184" s="33">
        <f t="shared" ref="K184" si="308">SUM(K185:K186)</f>
        <v>700000</v>
      </c>
    </row>
    <row r="185" spans="1:11" s="8" customFormat="1">
      <c r="A185" s="27" t="s">
        <v>73</v>
      </c>
      <c r="B185" s="27" t="s">
        <v>74</v>
      </c>
      <c r="C185" s="28">
        <v>200000</v>
      </c>
      <c r="D185" s="28">
        <v>200000</v>
      </c>
      <c r="E185" s="29">
        <v>139393.57999999999</v>
      </c>
      <c r="F185" s="28">
        <v>200000</v>
      </c>
      <c r="G185" s="28">
        <v>200000</v>
      </c>
      <c r="H185" s="28">
        <v>200000</v>
      </c>
      <c r="I185" s="28">
        <f>H185-D185</f>
        <v>0</v>
      </c>
      <c r="J185" s="28">
        <v>200000</v>
      </c>
      <c r="K185" s="28">
        <v>200000</v>
      </c>
    </row>
    <row r="186" spans="1:11" s="8" customFormat="1">
      <c r="A186" s="27" t="s">
        <v>75</v>
      </c>
      <c r="B186" s="27" t="s">
        <v>76</v>
      </c>
      <c r="C186" s="28">
        <v>3048000</v>
      </c>
      <c r="D186" s="28">
        <v>1048000</v>
      </c>
      <c r="E186" s="29">
        <v>1141787.0900000001</v>
      </c>
      <c r="F186" s="28">
        <v>3048000</v>
      </c>
      <c r="G186" s="28">
        <v>3048000</v>
      </c>
      <c r="H186" s="28">
        <v>500000</v>
      </c>
      <c r="I186" s="28">
        <f>H186-D186</f>
        <v>-548000</v>
      </c>
      <c r="J186" s="28">
        <v>500000</v>
      </c>
      <c r="K186" s="180">
        <f>1000000-500000</f>
        <v>500000</v>
      </c>
    </row>
    <row r="187" spans="1:11" s="8" customFormat="1" ht="20.399999999999999">
      <c r="A187" s="30" t="s">
        <v>101</v>
      </c>
      <c r="B187" s="31" t="s">
        <v>102</v>
      </c>
      <c r="C187" s="33">
        <f t="shared" ref="C187" si="309">SUM(C188)</f>
        <v>82000</v>
      </c>
      <c r="D187" s="33">
        <f t="shared" ref="D187" si="310">SUM(D188)</f>
        <v>82000</v>
      </c>
      <c r="E187" s="33">
        <f t="shared" ref="E187" si="311">SUM(E188)</f>
        <v>18500</v>
      </c>
      <c r="F187" s="33">
        <f t="shared" ref="F187" si="312">SUM(F188)</f>
        <v>82000</v>
      </c>
      <c r="G187" s="33">
        <f t="shared" ref="G187" si="313">SUM(G188)</f>
        <v>82000</v>
      </c>
      <c r="H187" s="33">
        <f t="shared" ref="H187" si="314">SUM(H188)</f>
        <v>82000</v>
      </c>
      <c r="I187" s="33">
        <f t="shared" ref="I187" si="315">SUM(I188)</f>
        <v>0</v>
      </c>
      <c r="J187" s="33">
        <f t="shared" ref="J187" si="316">SUM(J188)</f>
        <v>82000</v>
      </c>
      <c r="K187" s="33">
        <f t="shared" ref="K187" si="317">SUM(K188)</f>
        <v>1500000</v>
      </c>
    </row>
    <row r="188" spans="1:11" s="8" customFormat="1">
      <c r="A188" s="27" t="s">
        <v>103</v>
      </c>
      <c r="B188" s="27" t="s">
        <v>104</v>
      </c>
      <c r="C188" s="28">
        <v>82000</v>
      </c>
      <c r="D188" s="28">
        <v>82000</v>
      </c>
      <c r="E188" s="29">
        <v>18500</v>
      </c>
      <c r="F188" s="28">
        <v>82000</v>
      </c>
      <c r="G188" s="28">
        <v>82000</v>
      </c>
      <c r="H188" s="28">
        <v>82000</v>
      </c>
      <c r="I188" s="28">
        <f>H188-D188</f>
        <v>0</v>
      </c>
      <c r="J188" s="28">
        <v>82000</v>
      </c>
      <c r="K188" s="180">
        <f>2000000-500000</f>
        <v>1500000</v>
      </c>
    </row>
    <row r="189" spans="1:11" s="19" customFormat="1" ht="18.75" customHeight="1">
      <c r="A189" s="16" t="s">
        <v>192</v>
      </c>
      <c r="B189" s="17" t="s">
        <v>193</v>
      </c>
      <c r="C189" s="18">
        <f>SUM(C190)</f>
        <v>24313000</v>
      </c>
      <c r="D189" s="18">
        <f t="shared" ref="D189:K189" si="318">SUM(D190)</f>
        <v>21113000</v>
      </c>
      <c r="E189" s="18">
        <f t="shared" si="318"/>
        <v>4680393.59</v>
      </c>
      <c r="F189" s="18">
        <f t="shared" si="318"/>
        <v>24463000</v>
      </c>
      <c r="G189" s="18">
        <f t="shared" si="318"/>
        <v>24463000</v>
      </c>
      <c r="H189" s="18">
        <f t="shared" si="318"/>
        <v>26748850</v>
      </c>
      <c r="I189" s="18">
        <f t="shared" si="318"/>
        <v>5635850</v>
      </c>
      <c r="J189" s="18">
        <f t="shared" si="318"/>
        <v>27114250</v>
      </c>
      <c r="K189" s="18">
        <f t="shared" si="318"/>
        <v>27531250</v>
      </c>
    </row>
    <row r="190" spans="1:11" s="8" customFormat="1">
      <c r="A190" s="20" t="s">
        <v>17</v>
      </c>
      <c r="B190" s="21" t="s">
        <v>18</v>
      </c>
      <c r="C190" s="22">
        <f t="shared" ref="C190" si="319">SUM(C191,C197,C199)</f>
        <v>24313000</v>
      </c>
      <c r="D190" s="22">
        <f t="shared" ref="D190" si="320">SUM(D191,D197,D199)</f>
        <v>21113000</v>
      </c>
      <c r="E190" s="22">
        <f t="shared" ref="E190" si="321">SUM(E191,E197,E199)</f>
        <v>4680393.59</v>
      </c>
      <c r="F190" s="22">
        <f t="shared" ref="F190" si="322">SUM(F191,F197,F199)</f>
        <v>24463000</v>
      </c>
      <c r="G190" s="22">
        <f t="shared" ref="G190" si="323">SUM(G191,G197,G199)</f>
        <v>24463000</v>
      </c>
      <c r="H190" s="22">
        <f t="shared" ref="H190" si="324">SUM(H191,H197,H199)</f>
        <v>26748850</v>
      </c>
      <c r="I190" s="22">
        <f t="shared" ref="I190" si="325">SUM(I191,I197,I199)</f>
        <v>5635850</v>
      </c>
      <c r="J190" s="22">
        <f t="shared" ref="J190" si="326">SUM(J191,J197,J199)</f>
        <v>27114250</v>
      </c>
      <c r="K190" s="22">
        <f t="shared" ref="K190" si="327">SUM(K191,K197,K199)</f>
        <v>27531250</v>
      </c>
    </row>
    <row r="191" spans="1:11" s="8" customFormat="1">
      <c r="A191" s="30" t="s">
        <v>39</v>
      </c>
      <c r="B191" s="31" t="s">
        <v>40</v>
      </c>
      <c r="C191" s="33">
        <f t="shared" ref="C191" si="328">SUM(C192:C196)</f>
        <v>18925000</v>
      </c>
      <c r="D191" s="33">
        <f t="shared" ref="D191" si="329">SUM(D192:D196)</f>
        <v>17925000</v>
      </c>
      <c r="E191" s="33">
        <f t="shared" ref="E191" si="330">SUM(E192:E196)</f>
        <v>4496707.67</v>
      </c>
      <c r="F191" s="33">
        <f t="shared" ref="F191" si="331">SUM(F192:F196)</f>
        <v>19075000</v>
      </c>
      <c r="G191" s="33">
        <f t="shared" ref="G191" si="332">SUM(G192:G196)</f>
        <v>19075000</v>
      </c>
      <c r="H191" s="33">
        <f t="shared" ref="H191" si="333">SUM(H192:H196)</f>
        <v>17847850</v>
      </c>
      <c r="I191" s="33">
        <f t="shared" ref="I191" si="334">SUM(I192:I196)</f>
        <v>-77150</v>
      </c>
      <c r="J191" s="33">
        <f t="shared" ref="J191" si="335">SUM(J192:J196)</f>
        <v>18713250</v>
      </c>
      <c r="K191" s="33">
        <f t="shared" ref="K191" si="336">SUM(K192:K196)</f>
        <v>19130250</v>
      </c>
    </row>
    <row r="192" spans="1:11" s="8" customFormat="1" ht="20.399999999999999">
      <c r="A192" s="27" t="s">
        <v>55</v>
      </c>
      <c r="B192" s="27" t="s">
        <v>56</v>
      </c>
      <c r="C192" s="28">
        <v>783250</v>
      </c>
      <c r="D192" s="28">
        <v>783250</v>
      </c>
      <c r="E192" s="29">
        <v>108040.85</v>
      </c>
      <c r="F192" s="28">
        <v>783250</v>
      </c>
      <c r="G192" s="28">
        <v>783250</v>
      </c>
      <c r="H192" s="28">
        <v>806100</v>
      </c>
      <c r="I192" s="28">
        <f>H192-D192</f>
        <v>22850</v>
      </c>
      <c r="J192" s="28">
        <v>813000</v>
      </c>
      <c r="K192" s="28">
        <v>833000</v>
      </c>
    </row>
    <row r="193" spans="1:11" s="8" customFormat="1">
      <c r="A193" s="27" t="s">
        <v>57</v>
      </c>
      <c r="B193" s="27" t="s">
        <v>58</v>
      </c>
      <c r="C193" s="28">
        <v>249750</v>
      </c>
      <c r="D193" s="28">
        <v>249750</v>
      </c>
      <c r="E193" s="29">
        <v>98126.33</v>
      </c>
      <c r="F193" s="28">
        <v>249750</v>
      </c>
      <c r="G193" s="28">
        <v>249750</v>
      </c>
      <c r="H193" s="28">
        <v>266750</v>
      </c>
      <c r="I193" s="28">
        <f>H193-D193</f>
        <v>17000</v>
      </c>
      <c r="J193" s="28">
        <v>270250</v>
      </c>
      <c r="K193" s="28">
        <v>270250</v>
      </c>
    </row>
    <row r="194" spans="1:11" s="8" customFormat="1">
      <c r="A194" s="27" t="s">
        <v>63</v>
      </c>
      <c r="B194" s="27" t="s">
        <v>64</v>
      </c>
      <c r="C194" s="28">
        <v>4892500</v>
      </c>
      <c r="D194" s="28">
        <v>4592500</v>
      </c>
      <c r="E194" s="29">
        <v>1472945.19</v>
      </c>
      <c r="F194" s="28">
        <v>4892500</v>
      </c>
      <c r="G194" s="28">
        <v>4892500</v>
      </c>
      <c r="H194" s="180">
        <f>5861500-1000000</f>
        <v>4861500</v>
      </c>
      <c r="I194" s="180">
        <f>H194-D194</f>
        <v>269000</v>
      </c>
      <c r="J194" s="180">
        <f>5971500-1000000</f>
        <v>4971500</v>
      </c>
      <c r="K194" s="180">
        <f>6113500-1000000</f>
        <v>5113500</v>
      </c>
    </row>
    <row r="195" spans="1:11" s="8" customFormat="1">
      <c r="A195" s="27" t="s">
        <v>69</v>
      </c>
      <c r="B195" s="27" t="s">
        <v>70</v>
      </c>
      <c r="C195" s="28">
        <v>6197500</v>
      </c>
      <c r="D195" s="28">
        <v>6197500</v>
      </c>
      <c r="E195" s="29">
        <v>899728.07</v>
      </c>
      <c r="F195" s="28">
        <v>6297500</v>
      </c>
      <c r="G195" s="28">
        <v>6297500</v>
      </c>
      <c r="H195" s="180">
        <f>8885500-2000000</f>
        <v>6885500</v>
      </c>
      <c r="I195" s="180">
        <f>H195-D195</f>
        <v>688000</v>
      </c>
      <c r="J195" s="180">
        <f>9335500-2000000</f>
        <v>7335500</v>
      </c>
      <c r="K195" s="180">
        <f>9485500-2000000</f>
        <v>7485500</v>
      </c>
    </row>
    <row r="196" spans="1:11" s="8" customFormat="1">
      <c r="A196" s="27" t="s">
        <v>132</v>
      </c>
      <c r="B196" s="27" t="s">
        <v>133</v>
      </c>
      <c r="C196" s="28">
        <v>6802000</v>
      </c>
      <c r="D196" s="28">
        <v>6102000</v>
      </c>
      <c r="E196" s="29">
        <v>1917867.23</v>
      </c>
      <c r="F196" s="28">
        <v>6852000</v>
      </c>
      <c r="G196" s="28">
        <v>6852000</v>
      </c>
      <c r="H196" s="28">
        <v>5028000</v>
      </c>
      <c r="I196" s="28">
        <f>H196-D196</f>
        <v>-1074000</v>
      </c>
      <c r="J196" s="28">
        <v>5323000</v>
      </c>
      <c r="K196" s="28">
        <v>5428000</v>
      </c>
    </row>
    <row r="197" spans="1:11" s="8" customFormat="1" ht="20.399999999999999">
      <c r="A197" s="30" t="s">
        <v>112</v>
      </c>
      <c r="B197" s="31" t="s">
        <v>113</v>
      </c>
      <c r="C197" s="33">
        <f t="shared" ref="C197" si="337">SUM(C198)</f>
        <v>216500</v>
      </c>
      <c r="D197" s="33">
        <f t="shared" ref="D197" si="338">SUM(D198)</f>
        <v>216500</v>
      </c>
      <c r="E197" s="33">
        <f t="shared" ref="E197" si="339">SUM(E198)</f>
        <v>3962.65</v>
      </c>
      <c r="F197" s="33">
        <f t="shared" ref="F197" si="340">SUM(F198)</f>
        <v>216500</v>
      </c>
      <c r="G197" s="33">
        <f t="shared" ref="G197" si="341">SUM(G198)</f>
        <v>216500</v>
      </c>
      <c r="H197" s="33">
        <f t="shared" ref="H197" si="342">SUM(H198)</f>
        <v>216500</v>
      </c>
      <c r="I197" s="33">
        <f t="shared" ref="I197" si="343">SUM(I198)</f>
        <v>0</v>
      </c>
      <c r="J197" s="33">
        <f t="shared" ref="J197" si="344">SUM(J198)</f>
        <v>216500</v>
      </c>
      <c r="K197" s="33">
        <f t="shared" ref="K197" si="345">SUM(K198)</f>
        <v>216500</v>
      </c>
    </row>
    <row r="198" spans="1:11" s="8" customFormat="1">
      <c r="A198" s="27" t="s">
        <v>114</v>
      </c>
      <c r="B198" s="27" t="s">
        <v>115</v>
      </c>
      <c r="C198" s="28">
        <v>216500</v>
      </c>
      <c r="D198" s="28">
        <v>216500</v>
      </c>
      <c r="E198" s="29">
        <v>3962.65</v>
      </c>
      <c r="F198" s="28">
        <v>216500</v>
      </c>
      <c r="G198" s="28">
        <v>216500</v>
      </c>
      <c r="H198" s="28">
        <v>216500</v>
      </c>
      <c r="I198" s="28">
        <f>H198-D198</f>
        <v>0</v>
      </c>
      <c r="J198" s="28">
        <v>216500</v>
      </c>
      <c r="K198" s="28">
        <v>216500</v>
      </c>
    </row>
    <row r="199" spans="1:11" s="8" customFormat="1" ht="20.399999999999999">
      <c r="A199" s="30" t="s">
        <v>116</v>
      </c>
      <c r="B199" s="31" t="s">
        <v>117</v>
      </c>
      <c r="C199" s="33">
        <f t="shared" ref="C199" si="346">SUM(C200:C202)</f>
        <v>5171500</v>
      </c>
      <c r="D199" s="33">
        <f t="shared" ref="D199" si="347">SUM(D200:D202)</f>
        <v>2971500</v>
      </c>
      <c r="E199" s="33">
        <f t="shared" ref="E199" si="348">SUM(E200:E202)</f>
        <v>179723.27000000002</v>
      </c>
      <c r="F199" s="33">
        <f t="shared" ref="F199" si="349">SUM(F200:F202)</f>
        <v>5171500</v>
      </c>
      <c r="G199" s="33">
        <f t="shared" ref="G199" si="350">SUM(G200:G202)</f>
        <v>5171500</v>
      </c>
      <c r="H199" s="33">
        <f t="shared" ref="H199" si="351">SUM(H200:H202)</f>
        <v>8684500</v>
      </c>
      <c r="I199" s="33">
        <f t="shared" ref="I199" si="352">SUM(I200:I202)</f>
        <v>5713000</v>
      </c>
      <c r="J199" s="33">
        <f t="shared" ref="J199" si="353">SUM(J200:J202)</f>
        <v>8184500</v>
      </c>
      <c r="K199" s="33">
        <f t="shared" ref="K199" si="354">SUM(K200:K202)</f>
        <v>8184500</v>
      </c>
    </row>
    <row r="200" spans="1:11" s="8" customFormat="1">
      <c r="A200" s="27" t="s">
        <v>118</v>
      </c>
      <c r="B200" s="27" t="s">
        <v>119</v>
      </c>
      <c r="C200" s="28">
        <v>2635000</v>
      </c>
      <c r="D200" s="28">
        <v>1635000</v>
      </c>
      <c r="E200" s="29">
        <v>112741.31</v>
      </c>
      <c r="F200" s="28">
        <v>2635000</v>
      </c>
      <c r="G200" s="28">
        <v>2635000</v>
      </c>
      <c r="H200" s="180">
        <f>2786000-500000+1000000</f>
        <v>3286000</v>
      </c>
      <c r="I200" s="180">
        <f>H200-D200</f>
        <v>1651000</v>
      </c>
      <c r="J200" s="180">
        <f>3086000-500000</f>
        <v>2586000</v>
      </c>
      <c r="K200" s="180">
        <f>3086000-500000</f>
        <v>2586000</v>
      </c>
    </row>
    <row r="201" spans="1:11" s="8" customFormat="1">
      <c r="A201" s="27" t="s">
        <v>120</v>
      </c>
      <c r="B201" s="27" t="s">
        <v>121</v>
      </c>
      <c r="C201" s="28">
        <v>1558000</v>
      </c>
      <c r="D201" s="28">
        <v>1058000</v>
      </c>
      <c r="E201" s="29">
        <v>66981.960000000006</v>
      </c>
      <c r="F201" s="28">
        <v>1558000</v>
      </c>
      <c r="G201" s="28">
        <v>1558000</v>
      </c>
      <c r="H201" s="180">
        <v>1870000</v>
      </c>
      <c r="I201" s="180">
        <f>H201-D201</f>
        <v>812000</v>
      </c>
      <c r="J201" s="180">
        <v>2170000</v>
      </c>
      <c r="K201" s="180">
        <v>2170000</v>
      </c>
    </row>
    <row r="202" spans="1:11" s="8" customFormat="1">
      <c r="A202" s="27" t="s">
        <v>188</v>
      </c>
      <c r="B202" s="27" t="s">
        <v>189</v>
      </c>
      <c r="C202" s="28">
        <v>978500</v>
      </c>
      <c r="D202" s="28">
        <v>278500</v>
      </c>
      <c r="E202" s="34">
        <v>0</v>
      </c>
      <c r="F202" s="28">
        <v>978500</v>
      </c>
      <c r="G202" s="28">
        <v>978500</v>
      </c>
      <c r="H202" s="180">
        <f>4028500-500000</f>
        <v>3528500</v>
      </c>
      <c r="I202" s="180">
        <f>H202-D202</f>
        <v>3250000</v>
      </c>
      <c r="J202" s="180">
        <f>3928500-500000</f>
        <v>3428500</v>
      </c>
      <c r="K202" s="180">
        <f>3928500-500000</f>
        <v>3428500</v>
      </c>
    </row>
    <row r="203" spans="1:11" s="19" customFormat="1" ht="21" customHeight="1">
      <c r="A203" s="16" t="s">
        <v>194</v>
      </c>
      <c r="B203" s="17" t="s">
        <v>195</v>
      </c>
      <c r="C203" s="18">
        <f>SUM(C204)</f>
        <v>4168000</v>
      </c>
      <c r="D203" s="18">
        <f t="shared" ref="D203:K203" si="355">SUM(D204)</f>
        <v>4055964</v>
      </c>
      <c r="E203" s="18">
        <f t="shared" si="355"/>
        <v>4055963.47</v>
      </c>
      <c r="F203" s="18">
        <f t="shared" si="355"/>
        <v>0</v>
      </c>
      <c r="G203" s="18">
        <f t="shared" si="355"/>
        <v>0</v>
      </c>
      <c r="H203" s="18">
        <f t="shared" si="355"/>
        <v>0</v>
      </c>
      <c r="I203" s="18">
        <f t="shared" si="355"/>
        <v>-4055964</v>
      </c>
      <c r="J203" s="18">
        <f t="shared" si="355"/>
        <v>0</v>
      </c>
      <c r="K203" s="18">
        <f t="shared" si="355"/>
        <v>0</v>
      </c>
    </row>
    <row r="204" spans="1:11" s="8" customFormat="1">
      <c r="A204" s="36" t="s">
        <v>196</v>
      </c>
      <c r="B204" s="37" t="s">
        <v>197</v>
      </c>
      <c r="C204" s="39">
        <f t="shared" ref="C204:C205" si="356">SUM(C205)</f>
        <v>4168000</v>
      </c>
      <c r="D204" s="39">
        <f t="shared" ref="D204:D205" si="357">SUM(D205)</f>
        <v>4055964</v>
      </c>
      <c r="E204" s="39">
        <f t="shared" ref="E204:E205" si="358">SUM(E205)</f>
        <v>4055963.47</v>
      </c>
      <c r="F204" s="39">
        <f t="shared" ref="F204:F205" si="359">SUM(F205)</f>
        <v>0</v>
      </c>
      <c r="G204" s="39">
        <f t="shared" ref="G204:G205" si="360">SUM(G205)</f>
        <v>0</v>
      </c>
      <c r="H204" s="38">
        <f t="shared" ref="H204:H205" si="361">SUM(H205)</f>
        <v>0</v>
      </c>
      <c r="I204" s="39">
        <f t="shared" ref="I204:I205" si="362">SUM(I205)</f>
        <v>-4055964</v>
      </c>
      <c r="J204" s="39">
        <f t="shared" ref="J204:J205" si="363">SUM(J205)</f>
        <v>0</v>
      </c>
      <c r="K204" s="39">
        <f t="shared" ref="K204:K205" si="364">SUM(K205)</f>
        <v>0</v>
      </c>
    </row>
    <row r="205" spans="1:11" s="8" customFormat="1" ht="20.399999999999999">
      <c r="A205" s="30" t="s">
        <v>116</v>
      </c>
      <c r="B205" s="31" t="s">
        <v>117</v>
      </c>
      <c r="C205" s="40">
        <f t="shared" si="356"/>
        <v>4168000</v>
      </c>
      <c r="D205" s="40">
        <f t="shared" si="357"/>
        <v>4055964</v>
      </c>
      <c r="E205" s="40">
        <f t="shared" si="358"/>
        <v>4055963.47</v>
      </c>
      <c r="F205" s="40">
        <f t="shared" si="359"/>
        <v>0</v>
      </c>
      <c r="G205" s="40">
        <f t="shared" si="360"/>
        <v>0</v>
      </c>
      <c r="H205" s="33">
        <f t="shared" si="361"/>
        <v>0</v>
      </c>
      <c r="I205" s="40">
        <f t="shared" si="362"/>
        <v>-4055964</v>
      </c>
      <c r="J205" s="40">
        <f t="shared" si="363"/>
        <v>0</v>
      </c>
      <c r="K205" s="40">
        <f t="shared" si="364"/>
        <v>0</v>
      </c>
    </row>
    <row r="206" spans="1:11" s="8" customFormat="1">
      <c r="A206" s="27" t="s">
        <v>198</v>
      </c>
      <c r="B206" s="27" t="s">
        <v>199</v>
      </c>
      <c r="C206" s="28">
        <v>4168000</v>
      </c>
      <c r="D206" s="28">
        <v>4055964</v>
      </c>
      <c r="E206" s="29">
        <v>4055963.47</v>
      </c>
      <c r="F206" s="41">
        <v>0</v>
      </c>
      <c r="G206" s="28"/>
      <c r="H206" s="28"/>
      <c r="I206" s="28">
        <f>H206-D206</f>
        <v>-4055964</v>
      </c>
      <c r="J206" s="28"/>
      <c r="K206" s="28"/>
    </row>
    <row r="207" spans="1:11" s="19" customFormat="1" ht="40.799999999999997">
      <c r="A207" s="16" t="s">
        <v>206</v>
      </c>
      <c r="B207" s="17" t="s">
        <v>207</v>
      </c>
      <c r="C207" s="18">
        <f>SUM(C208)</f>
        <v>15768000</v>
      </c>
      <c r="D207" s="18">
        <f t="shared" ref="D207:K207" si="365">SUM(D208)</f>
        <v>10959036</v>
      </c>
      <c r="E207" s="18">
        <f t="shared" si="365"/>
        <v>843434.15</v>
      </c>
      <c r="F207" s="18">
        <f t="shared" si="365"/>
        <v>6817000</v>
      </c>
      <c r="G207" s="18">
        <f t="shared" si="365"/>
        <v>2698000</v>
      </c>
      <c r="H207" s="18">
        <f t="shared" si="365"/>
        <v>17606000</v>
      </c>
      <c r="I207" s="18">
        <f t="shared" si="365"/>
        <v>6646964</v>
      </c>
      <c r="J207" s="18">
        <f t="shared" si="365"/>
        <v>15359000</v>
      </c>
      <c r="K207" s="18">
        <f t="shared" si="365"/>
        <v>16408000</v>
      </c>
    </row>
    <row r="208" spans="1:11" s="8" customFormat="1">
      <c r="A208" s="36" t="s">
        <v>196</v>
      </c>
      <c r="B208" s="37" t="s">
        <v>197</v>
      </c>
      <c r="C208" s="38">
        <f>SUM(C209,C219,C221,C231)</f>
        <v>15768000</v>
      </c>
      <c r="D208" s="38">
        <f t="shared" ref="D208:K208" si="366">SUM(D209,D219,D221,D231)</f>
        <v>10959036</v>
      </c>
      <c r="E208" s="38">
        <f t="shared" si="366"/>
        <v>843434.15</v>
      </c>
      <c r="F208" s="38">
        <f t="shared" si="366"/>
        <v>6817000</v>
      </c>
      <c r="G208" s="38">
        <f t="shared" si="366"/>
        <v>2698000</v>
      </c>
      <c r="H208" s="38">
        <f t="shared" si="366"/>
        <v>17606000</v>
      </c>
      <c r="I208" s="38">
        <f t="shared" si="366"/>
        <v>6646964</v>
      </c>
      <c r="J208" s="38">
        <f t="shared" si="366"/>
        <v>15359000</v>
      </c>
      <c r="K208" s="38">
        <f t="shared" si="366"/>
        <v>16408000</v>
      </c>
    </row>
    <row r="209" spans="1:11" s="8" customFormat="1">
      <c r="A209" s="30" t="s">
        <v>39</v>
      </c>
      <c r="B209" s="31" t="s">
        <v>40</v>
      </c>
      <c r="C209" s="33">
        <f>SUM(C210:C218)</f>
        <v>2045000</v>
      </c>
      <c r="D209" s="33">
        <f t="shared" ref="D209:K209" si="367">SUM(D210:D218)</f>
        <v>297000</v>
      </c>
      <c r="E209" s="33">
        <f t="shared" si="367"/>
        <v>0</v>
      </c>
      <c r="F209" s="33">
        <f t="shared" si="367"/>
        <v>1017000</v>
      </c>
      <c r="G209" s="33">
        <f t="shared" si="367"/>
        <v>1017000</v>
      </c>
      <c r="H209" s="33">
        <f t="shared" si="367"/>
        <v>131000</v>
      </c>
      <c r="I209" s="33">
        <f t="shared" si="367"/>
        <v>-166000</v>
      </c>
      <c r="J209" s="33">
        <f t="shared" si="367"/>
        <v>131000</v>
      </c>
      <c r="K209" s="33">
        <f t="shared" si="367"/>
        <v>131000</v>
      </c>
    </row>
    <row r="210" spans="1:11" s="8" customFormat="1">
      <c r="A210" s="27" t="s">
        <v>41</v>
      </c>
      <c r="B210" s="27" t="s">
        <v>42</v>
      </c>
      <c r="C210" s="28">
        <v>5000</v>
      </c>
      <c r="D210" s="28">
        <v>5000</v>
      </c>
      <c r="E210" s="28"/>
      <c r="F210" s="28">
        <v>5000</v>
      </c>
      <c r="G210" s="28">
        <v>5000</v>
      </c>
      <c r="H210" s="28">
        <v>4000</v>
      </c>
      <c r="I210" s="28">
        <f t="shared" ref="I210:I218" si="368">H210-D210</f>
        <v>-1000</v>
      </c>
      <c r="J210" s="28">
        <v>4000</v>
      </c>
      <c r="K210" s="28">
        <v>4000</v>
      </c>
    </row>
    <row r="211" spans="1:11" s="8" customFormat="1">
      <c r="A211" s="27" t="s">
        <v>45</v>
      </c>
      <c r="B211" s="27" t="s">
        <v>46</v>
      </c>
      <c r="C211" s="28">
        <v>10000</v>
      </c>
      <c r="D211" s="28">
        <v>20000</v>
      </c>
      <c r="E211" s="28"/>
      <c r="F211" s="28">
        <v>10000</v>
      </c>
      <c r="G211" s="28">
        <v>10000</v>
      </c>
      <c r="H211" s="28">
        <v>1000</v>
      </c>
      <c r="I211" s="28">
        <f t="shared" si="368"/>
        <v>-19000</v>
      </c>
      <c r="J211" s="28">
        <v>1000</v>
      </c>
      <c r="K211" s="28">
        <v>1000</v>
      </c>
    </row>
    <row r="212" spans="1:11" s="8" customFormat="1">
      <c r="A212" s="27" t="s">
        <v>47</v>
      </c>
      <c r="B212" s="27" t="s">
        <v>48</v>
      </c>
      <c r="C212" s="28">
        <v>10000</v>
      </c>
      <c r="D212" s="28">
        <v>10000</v>
      </c>
      <c r="E212" s="28"/>
      <c r="F212" s="28">
        <v>10000</v>
      </c>
      <c r="G212" s="28">
        <v>10000</v>
      </c>
      <c r="H212" s="28"/>
      <c r="I212" s="28">
        <f t="shared" si="368"/>
        <v>-10000</v>
      </c>
      <c r="J212" s="28"/>
      <c r="K212" s="28"/>
    </row>
    <row r="213" spans="1:11" s="8" customFormat="1">
      <c r="A213" s="27" t="s">
        <v>49</v>
      </c>
      <c r="B213" s="27" t="s">
        <v>50</v>
      </c>
      <c r="C213" s="28">
        <v>5000</v>
      </c>
      <c r="D213" s="28">
        <v>5000</v>
      </c>
      <c r="E213" s="28"/>
      <c r="F213" s="28">
        <v>2000</v>
      </c>
      <c r="G213" s="28">
        <v>2000</v>
      </c>
      <c r="H213" s="28"/>
      <c r="I213" s="28">
        <f t="shared" si="368"/>
        <v>-5000</v>
      </c>
      <c r="J213" s="28"/>
      <c r="K213" s="28"/>
    </row>
    <row r="214" spans="1:11" s="8" customFormat="1">
      <c r="A214" s="27" t="s">
        <v>65</v>
      </c>
      <c r="B214" s="27" t="s">
        <v>66</v>
      </c>
      <c r="C214" s="28"/>
      <c r="D214" s="28"/>
      <c r="E214" s="28"/>
      <c r="F214" s="28"/>
      <c r="G214" s="28"/>
      <c r="H214" s="28">
        <v>1000</v>
      </c>
      <c r="I214" s="28">
        <f t="shared" si="368"/>
        <v>1000</v>
      </c>
      <c r="J214" s="28">
        <v>1000</v>
      </c>
      <c r="K214" s="28">
        <v>1000</v>
      </c>
    </row>
    <row r="215" spans="1:11" s="8" customFormat="1">
      <c r="A215" s="27">
        <v>3237</v>
      </c>
      <c r="B215" s="27" t="s">
        <v>74</v>
      </c>
      <c r="C215" s="28"/>
      <c r="D215" s="28">
        <v>40000</v>
      </c>
      <c r="E215" s="28"/>
      <c r="F215" s="28"/>
      <c r="G215" s="28"/>
      <c r="H215" s="28">
        <v>125000</v>
      </c>
      <c r="I215" s="28">
        <f t="shared" si="368"/>
        <v>85000</v>
      </c>
      <c r="J215" s="28">
        <v>125000</v>
      </c>
      <c r="K215" s="28">
        <v>125000</v>
      </c>
    </row>
    <row r="216" spans="1:11" s="8" customFormat="1">
      <c r="A216" s="27" t="s">
        <v>132</v>
      </c>
      <c r="B216" s="27" t="s">
        <v>133</v>
      </c>
      <c r="C216" s="28">
        <v>2000000</v>
      </c>
      <c r="D216" s="28">
        <v>200000</v>
      </c>
      <c r="E216" s="28"/>
      <c r="F216" s="28">
        <v>990000</v>
      </c>
      <c r="G216" s="28">
        <v>990000</v>
      </c>
      <c r="H216" s="28"/>
      <c r="I216" s="28">
        <f t="shared" si="368"/>
        <v>-200000</v>
      </c>
      <c r="J216" s="28"/>
      <c r="K216" s="28"/>
    </row>
    <row r="217" spans="1:11" s="8" customFormat="1">
      <c r="A217" s="27" t="s">
        <v>75</v>
      </c>
      <c r="B217" s="27" t="s">
        <v>76</v>
      </c>
      <c r="C217" s="28">
        <v>15000</v>
      </c>
      <c r="D217" s="28">
        <v>15000</v>
      </c>
      <c r="E217" s="28"/>
      <c r="F217" s="41">
        <v>0</v>
      </c>
      <c r="G217" s="28"/>
      <c r="H217" s="28"/>
      <c r="I217" s="28">
        <f t="shared" si="368"/>
        <v>-15000</v>
      </c>
      <c r="J217" s="41"/>
      <c r="K217" s="41"/>
    </row>
    <row r="218" spans="1:11" s="8" customFormat="1">
      <c r="A218" s="27" t="s">
        <v>78</v>
      </c>
      <c r="B218" s="27" t="s">
        <v>77</v>
      </c>
      <c r="C218" s="28"/>
      <c r="D218" s="28">
        <v>2000</v>
      </c>
      <c r="E218" s="28"/>
      <c r="F218" s="41"/>
      <c r="G218" s="28"/>
      <c r="H218" s="28"/>
      <c r="I218" s="28">
        <f t="shared" si="368"/>
        <v>-2000</v>
      </c>
      <c r="J218" s="41"/>
      <c r="K218" s="41"/>
    </row>
    <row r="219" spans="1:11" s="8" customFormat="1" ht="20.399999999999999">
      <c r="A219" s="30" t="s">
        <v>112</v>
      </c>
      <c r="B219" s="31" t="s">
        <v>113</v>
      </c>
      <c r="C219" s="33">
        <f t="shared" ref="C219" si="369">SUM(C220)</f>
        <v>0</v>
      </c>
      <c r="D219" s="33">
        <f t="shared" ref="D219" si="370">SUM(D220)</f>
        <v>307000</v>
      </c>
      <c r="E219" s="33">
        <f t="shared" ref="E219" si="371">SUM(E220)</f>
        <v>256250</v>
      </c>
      <c r="F219" s="33">
        <f t="shared" ref="F219" si="372">SUM(F220)</f>
        <v>0</v>
      </c>
      <c r="G219" s="33">
        <f t="shared" ref="G219" si="373">SUM(G220)</f>
        <v>0</v>
      </c>
      <c r="H219" s="33">
        <f t="shared" ref="H219" si="374">SUM(H220)</f>
        <v>50000</v>
      </c>
      <c r="I219" s="33">
        <f t="shared" ref="I219" si="375">SUM(I220)</f>
        <v>-257000</v>
      </c>
      <c r="J219" s="33">
        <f t="shared" ref="J219" si="376">SUM(J220)</f>
        <v>50000</v>
      </c>
      <c r="K219" s="33">
        <f t="shared" ref="K219" si="377">SUM(K220)</f>
        <v>50000</v>
      </c>
    </row>
    <row r="220" spans="1:11" s="8" customFormat="1">
      <c r="A220" s="27" t="s">
        <v>114</v>
      </c>
      <c r="B220" s="27" t="s">
        <v>115</v>
      </c>
      <c r="C220" s="28"/>
      <c r="D220" s="28">
        <v>307000</v>
      </c>
      <c r="E220" s="29">
        <v>256250</v>
      </c>
      <c r="F220" s="28"/>
      <c r="G220" s="28"/>
      <c r="H220" s="28">
        <v>50000</v>
      </c>
      <c r="I220" s="28">
        <f>H220-D220</f>
        <v>-257000</v>
      </c>
      <c r="J220" s="28">
        <v>50000</v>
      </c>
      <c r="K220" s="28">
        <v>50000</v>
      </c>
    </row>
    <row r="221" spans="1:11" s="8" customFormat="1" ht="20.399999999999999">
      <c r="A221" s="30" t="s">
        <v>116</v>
      </c>
      <c r="B221" s="31" t="s">
        <v>117</v>
      </c>
      <c r="C221" s="33">
        <f t="shared" ref="C221" si="378">SUM(C222:C230)</f>
        <v>13723000</v>
      </c>
      <c r="D221" s="33">
        <f t="shared" ref="D221" si="379">SUM(D222:D230)</f>
        <v>10255036</v>
      </c>
      <c r="E221" s="33">
        <f t="shared" ref="E221" si="380">SUM(E222:E230)</f>
        <v>587184.15</v>
      </c>
      <c r="F221" s="33">
        <f t="shared" ref="F221" si="381">SUM(F222:F230)</f>
        <v>5800000</v>
      </c>
      <c r="G221" s="33">
        <f t="shared" ref="G221" si="382">SUM(G222:G230)</f>
        <v>1681000</v>
      </c>
      <c r="H221" s="33">
        <f t="shared" ref="H221" si="383">SUM(H222:H230)</f>
        <v>16825000</v>
      </c>
      <c r="I221" s="33">
        <f t="shared" ref="I221" si="384">SUM(I222:I230)</f>
        <v>6569964</v>
      </c>
      <c r="J221" s="33">
        <f t="shared" ref="J221" si="385">SUM(J222:J230)</f>
        <v>15178000</v>
      </c>
      <c r="K221" s="33">
        <f t="shared" ref="K221" si="386">SUM(K222:K230)</f>
        <v>16227000</v>
      </c>
    </row>
    <row r="222" spans="1:11" s="8" customFormat="1">
      <c r="A222" s="27" t="s">
        <v>144</v>
      </c>
      <c r="B222" s="27" t="s">
        <v>145</v>
      </c>
      <c r="C222" s="28">
        <v>800000</v>
      </c>
      <c r="D222" s="28"/>
      <c r="E222" s="28"/>
      <c r="F222" s="28"/>
      <c r="G222" s="28"/>
      <c r="H222" s="28">
        <v>2500000</v>
      </c>
      <c r="I222" s="28">
        <f t="shared" ref="I222:I230" si="387">H222-D222</f>
        <v>2500000</v>
      </c>
      <c r="J222" s="28"/>
      <c r="K222" s="28">
        <v>1875000</v>
      </c>
    </row>
    <row r="223" spans="1:11" s="8" customFormat="1">
      <c r="A223" s="27" t="s">
        <v>118</v>
      </c>
      <c r="B223" s="27" t="s">
        <v>119</v>
      </c>
      <c r="C223" s="28">
        <v>3000</v>
      </c>
      <c r="D223" s="28">
        <v>1003000</v>
      </c>
      <c r="E223" s="29">
        <v>9205.7099999999991</v>
      </c>
      <c r="F223" s="41">
        <v>0</v>
      </c>
      <c r="G223" s="28"/>
      <c r="H223" s="180">
        <f>3850000-2000000</f>
        <v>1850000</v>
      </c>
      <c r="I223" s="180">
        <f t="shared" si="387"/>
        <v>847000</v>
      </c>
      <c r="J223" s="180">
        <v>50000</v>
      </c>
      <c r="K223" s="180">
        <v>50000</v>
      </c>
    </row>
    <row r="224" spans="1:11" s="8" customFormat="1">
      <c r="A224" s="27" t="s">
        <v>120</v>
      </c>
      <c r="B224" s="27" t="s">
        <v>121</v>
      </c>
      <c r="C224" s="28">
        <v>3000000</v>
      </c>
      <c r="D224" s="28">
        <v>1832036</v>
      </c>
      <c r="E224" s="29">
        <v>147656.25</v>
      </c>
      <c r="F224" s="28">
        <v>3000000</v>
      </c>
      <c r="G224" s="28"/>
      <c r="H224" s="180">
        <v>150000</v>
      </c>
      <c r="I224" s="180">
        <f t="shared" si="387"/>
        <v>-1682036</v>
      </c>
      <c r="J224" s="180">
        <f>2830000-1000000</f>
        <v>1830000</v>
      </c>
      <c r="K224" s="180">
        <f>2830000-1000000</f>
        <v>1830000</v>
      </c>
    </row>
    <row r="225" spans="1:11" s="8" customFormat="1">
      <c r="A225" s="27" t="s">
        <v>122</v>
      </c>
      <c r="B225" s="27" t="s">
        <v>123</v>
      </c>
      <c r="C225" s="28">
        <v>2660000</v>
      </c>
      <c r="D225" s="28">
        <v>2160000</v>
      </c>
      <c r="E225" s="29">
        <v>349717.19</v>
      </c>
      <c r="F225" s="41">
        <v>0</v>
      </c>
      <c r="G225" s="28"/>
      <c r="H225" s="180">
        <f>15625000-7000000</f>
        <v>8625000</v>
      </c>
      <c r="I225" s="180">
        <f t="shared" si="387"/>
        <v>6465000</v>
      </c>
      <c r="J225" s="180">
        <f>18648000-8000000</f>
        <v>10648000</v>
      </c>
      <c r="K225" s="180">
        <f>12672000-5000000</f>
        <v>7672000</v>
      </c>
    </row>
    <row r="226" spans="1:11" s="8" customFormat="1">
      <c r="A226" s="27" t="s">
        <v>186</v>
      </c>
      <c r="B226" s="27" t="s">
        <v>187</v>
      </c>
      <c r="C226" s="28"/>
      <c r="D226" s="28"/>
      <c r="E226" s="29">
        <v>33250</v>
      </c>
      <c r="F226" s="28"/>
      <c r="G226" s="28"/>
      <c r="H226" s="180"/>
      <c r="I226" s="180">
        <f t="shared" si="387"/>
        <v>0</v>
      </c>
      <c r="J226" s="180"/>
      <c r="K226" s="180"/>
    </row>
    <row r="227" spans="1:11" s="8" customFormat="1">
      <c r="A227" s="27" t="s">
        <v>124</v>
      </c>
      <c r="B227" s="27" t="s">
        <v>125</v>
      </c>
      <c r="C227" s="28">
        <v>4225000</v>
      </c>
      <c r="D227" s="28">
        <v>1225000</v>
      </c>
      <c r="E227" s="28"/>
      <c r="F227" s="41">
        <v>0</v>
      </c>
      <c r="G227" s="28"/>
      <c r="H227" s="180">
        <v>750000</v>
      </c>
      <c r="I227" s="180">
        <f t="shared" si="387"/>
        <v>-475000</v>
      </c>
      <c r="J227" s="180">
        <v>750000</v>
      </c>
      <c r="K227" s="180">
        <v>750000</v>
      </c>
    </row>
    <row r="228" spans="1:11" s="8" customFormat="1">
      <c r="A228" s="27" t="s">
        <v>160</v>
      </c>
      <c r="B228" s="27" t="s">
        <v>161</v>
      </c>
      <c r="C228" s="28">
        <v>3035000</v>
      </c>
      <c r="D228" s="28">
        <v>3035000</v>
      </c>
      <c r="E228" s="28"/>
      <c r="F228" s="28">
        <v>2800000</v>
      </c>
      <c r="G228" s="28"/>
      <c r="H228" s="180">
        <v>700000</v>
      </c>
      <c r="I228" s="180">
        <f t="shared" si="387"/>
        <v>-2335000</v>
      </c>
      <c r="J228" s="180">
        <v>400000</v>
      </c>
      <c r="K228" s="180">
        <v>400000</v>
      </c>
    </row>
    <row r="229" spans="1:11" s="8" customFormat="1" ht="20.399999999999999">
      <c r="A229" s="27" t="s">
        <v>208</v>
      </c>
      <c r="B229" s="27" t="s">
        <v>209</v>
      </c>
      <c r="C229" s="41">
        <v>0</v>
      </c>
      <c r="D229" s="41">
        <v>800000</v>
      </c>
      <c r="E229" s="28"/>
      <c r="F229" s="41">
        <v>0</v>
      </c>
      <c r="G229" s="28">
        <v>1681000</v>
      </c>
      <c r="H229" s="180"/>
      <c r="I229" s="180">
        <f t="shared" si="387"/>
        <v>-800000</v>
      </c>
      <c r="J229" s="180"/>
      <c r="K229" s="180">
        <f>3150000-1000000</f>
        <v>2150000</v>
      </c>
    </row>
    <row r="230" spans="1:11" s="8" customFormat="1">
      <c r="A230" s="27" t="s">
        <v>188</v>
      </c>
      <c r="B230" s="27" t="s">
        <v>189</v>
      </c>
      <c r="C230" s="41">
        <v>0</v>
      </c>
      <c r="D230" s="41">
        <v>200000</v>
      </c>
      <c r="E230" s="29">
        <v>47355</v>
      </c>
      <c r="F230" s="41">
        <v>0</v>
      </c>
      <c r="G230" s="28"/>
      <c r="H230" s="28">
        <v>2250000</v>
      </c>
      <c r="I230" s="28">
        <f t="shared" si="387"/>
        <v>2050000</v>
      </c>
      <c r="J230" s="28">
        <v>1500000</v>
      </c>
      <c r="K230" s="28">
        <v>1500000</v>
      </c>
    </row>
    <row r="231" spans="1:11" s="8" customFormat="1" ht="20.399999999999999">
      <c r="A231" s="30" t="s">
        <v>134</v>
      </c>
      <c r="B231" s="31" t="s">
        <v>135</v>
      </c>
      <c r="C231" s="33">
        <f t="shared" ref="C231:K231" si="388">SUM(C232)</f>
        <v>0</v>
      </c>
      <c r="D231" s="33">
        <f t="shared" si="388"/>
        <v>100000</v>
      </c>
      <c r="E231" s="33">
        <f t="shared" si="388"/>
        <v>0</v>
      </c>
      <c r="F231" s="33">
        <f t="shared" si="388"/>
        <v>0</v>
      </c>
      <c r="G231" s="33">
        <f t="shared" si="388"/>
        <v>0</v>
      </c>
      <c r="H231" s="33">
        <f t="shared" si="388"/>
        <v>600000</v>
      </c>
      <c r="I231" s="33">
        <f t="shared" si="388"/>
        <v>500000</v>
      </c>
      <c r="J231" s="33">
        <f t="shared" si="388"/>
        <v>0</v>
      </c>
      <c r="K231" s="33">
        <f t="shared" si="388"/>
        <v>0</v>
      </c>
    </row>
    <row r="232" spans="1:11" s="8" customFormat="1">
      <c r="A232" s="27" t="s">
        <v>137</v>
      </c>
      <c r="B232" s="27" t="s">
        <v>136</v>
      </c>
      <c r="C232" s="28"/>
      <c r="D232" s="28">
        <v>100000</v>
      </c>
      <c r="E232" s="29"/>
      <c r="F232" s="28"/>
      <c r="G232" s="28"/>
      <c r="H232" s="28">
        <v>600000</v>
      </c>
      <c r="I232" s="28">
        <f>H232-D232</f>
        <v>500000</v>
      </c>
      <c r="J232" s="28"/>
      <c r="K232" s="28"/>
    </row>
    <row r="233" spans="1:11" s="19" customFormat="1" ht="20.399999999999999">
      <c r="A233" s="16" t="s">
        <v>210</v>
      </c>
      <c r="B233" s="17" t="s">
        <v>211</v>
      </c>
      <c r="C233" s="18">
        <f>SUM(C234)</f>
        <v>1553000</v>
      </c>
      <c r="D233" s="18">
        <f t="shared" ref="D233:K233" si="389">SUM(D234)</f>
        <v>277000</v>
      </c>
      <c r="E233" s="18">
        <f t="shared" si="389"/>
        <v>101561.47</v>
      </c>
      <c r="F233" s="18">
        <f t="shared" si="389"/>
        <v>1000</v>
      </c>
      <c r="G233" s="18">
        <f t="shared" si="389"/>
        <v>0</v>
      </c>
      <c r="H233" s="18">
        <f t="shared" si="389"/>
        <v>303000</v>
      </c>
      <c r="I233" s="18">
        <f t="shared" si="389"/>
        <v>26000</v>
      </c>
      <c r="J233" s="18">
        <f t="shared" si="389"/>
        <v>0</v>
      </c>
      <c r="K233" s="18">
        <f t="shared" si="389"/>
        <v>0</v>
      </c>
    </row>
    <row r="234" spans="1:11" s="8" customFormat="1">
      <c r="A234" s="36" t="s">
        <v>196</v>
      </c>
      <c r="B234" s="37" t="s">
        <v>197</v>
      </c>
      <c r="C234" s="38">
        <f t="shared" ref="C234" si="390">SUM(C238,C235)</f>
        <v>1553000</v>
      </c>
      <c r="D234" s="38">
        <f t="shared" ref="D234" si="391">SUM(D238,D235)</f>
        <v>277000</v>
      </c>
      <c r="E234" s="38">
        <f t="shared" ref="E234" si="392">SUM(E238,E235)</f>
        <v>101561.47</v>
      </c>
      <c r="F234" s="38">
        <f t="shared" ref="F234" si="393">SUM(F238,F235)</f>
        <v>1000</v>
      </c>
      <c r="G234" s="38">
        <f t="shared" ref="G234" si="394">SUM(G238,G235)</f>
        <v>0</v>
      </c>
      <c r="H234" s="38">
        <f t="shared" ref="H234" si="395">SUM(H238,H235)</f>
        <v>303000</v>
      </c>
      <c r="I234" s="38">
        <f t="shared" ref="I234" si="396">SUM(I238,I235)</f>
        <v>26000</v>
      </c>
      <c r="J234" s="38">
        <f t="shared" ref="J234" si="397">SUM(J238,J235)</f>
        <v>0</v>
      </c>
      <c r="K234" s="38">
        <f t="shared" ref="K234" si="398">SUM(K238,K235)</f>
        <v>0</v>
      </c>
    </row>
    <row r="235" spans="1:11" s="8" customFormat="1">
      <c r="A235" s="30" t="s">
        <v>39</v>
      </c>
      <c r="B235" s="31" t="s">
        <v>40</v>
      </c>
      <c r="C235" s="33">
        <f t="shared" ref="C235" si="399">SUM(C236:C237)</f>
        <v>1503000</v>
      </c>
      <c r="D235" s="33">
        <f t="shared" ref="D235" si="400">SUM(D236:D237)</f>
        <v>203000</v>
      </c>
      <c r="E235" s="33">
        <f t="shared" ref="E235" si="401">SUM(E236:E237)</f>
        <v>55845</v>
      </c>
      <c r="F235" s="33">
        <f t="shared" ref="F235" si="402">SUM(F236:F237)</f>
        <v>1000</v>
      </c>
      <c r="G235" s="33">
        <f t="shared" ref="G235" si="403">SUM(G236:G237)</f>
        <v>0</v>
      </c>
      <c r="H235" s="33">
        <f t="shared" ref="H235" si="404">SUM(H236:H237)</f>
        <v>303000</v>
      </c>
      <c r="I235" s="33">
        <f t="shared" ref="I235" si="405">SUM(I236:I237)</f>
        <v>100000</v>
      </c>
      <c r="J235" s="33">
        <f t="shared" ref="J235" si="406">SUM(J236:J237)</f>
        <v>0</v>
      </c>
      <c r="K235" s="33">
        <f t="shared" ref="K235" si="407">SUM(K236:K237)</f>
        <v>0</v>
      </c>
    </row>
    <row r="236" spans="1:11" s="8" customFormat="1">
      <c r="A236" s="27" t="s">
        <v>49</v>
      </c>
      <c r="B236" s="27" t="s">
        <v>50</v>
      </c>
      <c r="C236" s="28">
        <v>1500000</v>
      </c>
      <c r="D236" s="28">
        <v>200000</v>
      </c>
      <c r="E236" s="29">
        <v>55845</v>
      </c>
      <c r="F236" s="28"/>
      <c r="G236" s="28"/>
      <c r="H236" s="28">
        <v>300000</v>
      </c>
      <c r="I236" s="28">
        <f>H236-D236</f>
        <v>100000</v>
      </c>
      <c r="J236" s="28"/>
      <c r="K236" s="28"/>
    </row>
    <row r="237" spans="1:11" s="8" customFormat="1">
      <c r="A237" s="27" t="s">
        <v>82</v>
      </c>
      <c r="B237" s="27" t="s">
        <v>83</v>
      </c>
      <c r="C237" s="28">
        <v>3000</v>
      </c>
      <c r="D237" s="28">
        <v>3000</v>
      </c>
      <c r="E237" s="28"/>
      <c r="F237" s="28">
        <v>1000</v>
      </c>
      <c r="G237" s="28"/>
      <c r="H237" s="28">
        <v>3000</v>
      </c>
      <c r="I237" s="28">
        <f>H237-D237</f>
        <v>0</v>
      </c>
      <c r="J237" s="28"/>
      <c r="K237" s="28"/>
    </row>
    <row r="238" spans="1:11" s="8" customFormat="1" ht="20.399999999999999">
      <c r="A238" s="30" t="s">
        <v>134</v>
      </c>
      <c r="B238" s="31" t="s">
        <v>135</v>
      </c>
      <c r="C238" s="33">
        <f t="shared" ref="C238" si="408">SUM(C239)</f>
        <v>50000</v>
      </c>
      <c r="D238" s="33">
        <f t="shared" ref="D238" si="409">SUM(D239)</f>
        <v>74000</v>
      </c>
      <c r="E238" s="33">
        <f t="shared" ref="E238" si="410">SUM(E239)</f>
        <v>45716.47</v>
      </c>
      <c r="F238" s="33">
        <f t="shared" ref="F238" si="411">SUM(F239)</f>
        <v>0</v>
      </c>
      <c r="G238" s="33">
        <f t="shared" ref="G238" si="412">SUM(G239)</f>
        <v>0</v>
      </c>
      <c r="H238" s="33">
        <f t="shared" ref="H238" si="413">SUM(H239)</f>
        <v>0</v>
      </c>
      <c r="I238" s="33">
        <f t="shared" ref="I238" si="414">SUM(I239)</f>
        <v>-74000</v>
      </c>
      <c r="J238" s="33">
        <f t="shared" ref="J238" si="415">SUM(J239)</f>
        <v>0</v>
      </c>
      <c r="K238" s="33">
        <f t="shared" ref="K238" si="416">SUM(K239)</f>
        <v>0</v>
      </c>
    </row>
    <row r="239" spans="1:11" s="8" customFormat="1">
      <c r="A239" s="27" t="s">
        <v>137</v>
      </c>
      <c r="B239" s="27" t="s">
        <v>136</v>
      </c>
      <c r="C239" s="28">
        <v>50000</v>
      </c>
      <c r="D239" s="28">
        <v>74000</v>
      </c>
      <c r="E239" s="29">
        <v>45716.47</v>
      </c>
      <c r="F239" s="28"/>
      <c r="G239" s="28"/>
      <c r="H239" s="28"/>
      <c r="I239" s="28">
        <f>H239-D239</f>
        <v>-74000</v>
      </c>
      <c r="J239" s="28"/>
      <c r="K239" s="28"/>
    </row>
    <row r="240" spans="1:11" s="19" customFormat="1" ht="20.399999999999999">
      <c r="A240" s="16" t="s">
        <v>212</v>
      </c>
      <c r="B240" s="17" t="s">
        <v>213</v>
      </c>
      <c r="C240" s="18">
        <f>SUM(C241)</f>
        <v>554500</v>
      </c>
      <c r="D240" s="18">
        <f t="shared" ref="D240:K240" si="417">SUM(D241)</f>
        <v>524500</v>
      </c>
      <c r="E240" s="18">
        <f t="shared" si="417"/>
        <v>365383.39</v>
      </c>
      <c r="F240" s="18">
        <f t="shared" si="417"/>
        <v>3127500</v>
      </c>
      <c r="G240" s="18">
        <f t="shared" si="417"/>
        <v>0</v>
      </c>
      <c r="H240" s="18">
        <f t="shared" si="417"/>
        <v>3806000</v>
      </c>
      <c r="I240" s="18">
        <f t="shared" si="417"/>
        <v>3281500</v>
      </c>
      <c r="J240" s="18">
        <f t="shared" si="417"/>
        <v>0</v>
      </c>
      <c r="K240" s="18">
        <f t="shared" si="417"/>
        <v>0</v>
      </c>
    </row>
    <row r="241" spans="1:11" s="8" customFormat="1">
      <c r="A241" s="42" t="s">
        <v>196</v>
      </c>
      <c r="B241" s="43" t="s">
        <v>197</v>
      </c>
      <c r="C241" s="44">
        <f t="shared" ref="C241" si="418">SUM(C242,C248)</f>
        <v>554500</v>
      </c>
      <c r="D241" s="44">
        <f t="shared" ref="D241" si="419">SUM(D242,D248)</f>
        <v>524500</v>
      </c>
      <c r="E241" s="44">
        <f t="shared" ref="E241" si="420">SUM(E242,E248)</f>
        <v>365383.39</v>
      </c>
      <c r="F241" s="44">
        <f t="shared" ref="F241" si="421">SUM(F242,F248)</f>
        <v>3127500</v>
      </c>
      <c r="G241" s="44">
        <f t="shared" ref="G241" si="422">SUM(G242,G248)</f>
        <v>0</v>
      </c>
      <c r="H241" s="44">
        <f t="shared" ref="H241" si="423">SUM(H242,H248)</f>
        <v>3806000</v>
      </c>
      <c r="I241" s="44">
        <f t="shared" ref="I241" si="424">SUM(I242,I248)</f>
        <v>3281500</v>
      </c>
      <c r="J241" s="44">
        <f t="shared" ref="J241" si="425">SUM(J242,J248)</f>
        <v>0</v>
      </c>
      <c r="K241" s="44">
        <f t="shared" ref="K241" si="426">SUM(K242,K248)</f>
        <v>0</v>
      </c>
    </row>
    <row r="242" spans="1:11" s="8" customFormat="1">
      <c r="A242" s="30" t="s">
        <v>39</v>
      </c>
      <c r="B242" s="31" t="s">
        <v>40</v>
      </c>
      <c r="C242" s="33">
        <f>SUM(C243:C247)</f>
        <v>146000</v>
      </c>
      <c r="D242" s="33">
        <f t="shared" ref="D242:K242" si="427">SUM(D243:D247)</f>
        <v>46000</v>
      </c>
      <c r="E242" s="33">
        <f t="shared" si="427"/>
        <v>11032.51</v>
      </c>
      <c r="F242" s="33">
        <f t="shared" si="427"/>
        <v>163500</v>
      </c>
      <c r="G242" s="33">
        <f t="shared" si="427"/>
        <v>0</v>
      </c>
      <c r="H242" s="33">
        <f t="shared" si="427"/>
        <v>320000</v>
      </c>
      <c r="I242" s="33">
        <f t="shared" si="427"/>
        <v>274000</v>
      </c>
      <c r="J242" s="33">
        <f t="shared" si="427"/>
        <v>0</v>
      </c>
      <c r="K242" s="33">
        <f t="shared" si="427"/>
        <v>0</v>
      </c>
    </row>
    <row r="243" spans="1:11" s="8" customFormat="1">
      <c r="A243" s="27" t="s">
        <v>51</v>
      </c>
      <c r="B243" s="27" t="s">
        <v>52</v>
      </c>
      <c r="C243" s="28">
        <v>126000</v>
      </c>
      <c r="D243" s="28">
        <v>26000</v>
      </c>
      <c r="E243" s="28"/>
      <c r="F243" s="28">
        <v>126000</v>
      </c>
      <c r="G243" s="28"/>
      <c r="H243" s="28">
        <v>125000</v>
      </c>
      <c r="I243" s="28">
        <f>H243-D243</f>
        <v>99000</v>
      </c>
      <c r="J243" s="28"/>
      <c r="K243" s="28"/>
    </row>
    <row r="244" spans="1:11" s="8" customFormat="1">
      <c r="A244" s="27" t="s">
        <v>57</v>
      </c>
      <c r="B244" s="27" t="s">
        <v>58</v>
      </c>
      <c r="C244" s="28"/>
      <c r="D244" s="28"/>
      <c r="E244" s="29">
        <v>11032.51</v>
      </c>
      <c r="F244" s="28"/>
      <c r="G244" s="28"/>
      <c r="H244" s="28">
        <v>126000</v>
      </c>
      <c r="I244" s="28">
        <f>H244-D244</f>
        <v>126000</v>
      </c>
      <c r="J244" s="28"/>
      <c r="K244" s="28"/>
    </row>
    <row r="245" spans="1:11" s="8" customFormat="1">
      <c r="A245" s="27" t="s">
        <v>75</v>
      </c>
      <c r="B245" s="27" t="s">
        <v>76</v>
      </c>
      <c r="C245" s="28">
        <v>20000</v>
      </c>
      <c r="D245" s="28">
        <v>20000</v>
      </c>
      <c r="E245" s="28"/>
      <c r="F245" s="28">
        <v>37500</v>
      </c>
      <c r="G245" s="28"/>
      <c r="H245" s="28">
        <v>48000</v>
      </c>
      <c r="I245" s="28">
        <f>H245-D245</f>
        <v>28000</v>
      </c>
      <c r="J245" s="28"/>
      <c r="K245" s="28"/>
    </row>
    <row r="246" spans="1:11" s="8" customFormat="1">
      <c r="A246" s="27">
        <v>3292</v>
      </c>
      <c r="B246" s="27" t="s">
        <v>83</v>
      </c>
      <c r="C246" s="28"/>
      <c r="D246" s="28"/>
      <c r="E246" s="28"/>
      <c r="F246" s="28"/>
      <c r="G246" s="28"/>
      <c r="H246" s="28">
        <v>18000</v>
      </c>
      <c r="I246" s="28">
        <f>H246-D246</f>
        <v>18000</v>
      </c>
      <c r="J246" s="28"/>
      <c r="K246" s="28"/>
    </row>
    <row r="247" spans="1:11" s="8" customFormat="1">
      <c r="A247" s="27">
        <v>3293</v>
      </c>
      <c r="B247" s="27" t="s">
        <v>85</v>
      </c>
      <c r="C247" s="28"/>
      <c r="D247" s="28"/>
      <c r="E247" s="28"/>
      <c r="F247" s="28"/>
      <c r="G247" s="28"/>
      <c r="H247" s="28">
        <v>3000</v>
      </c>
      <c r="I247" s="28">
        <f>H247-D247</f>
        <v>3000</v>
      </c>
      <c r="J247" s="28"/>
      <c r="K247" s="28"/>
    </row>
    <row r="248" spans="1:11" s="8" customFormat="1" ht="20.399999999999999">
      <c r="A248" s="30" t="s">
        <v>116</v>
      </c>
      <c r="B248" s="31" t="s">
        <v>117</v>
      </c>
      <c r="C248" s="33">
        <f t="shared" ref="C248" si="428">SUM(C249:C251)</f>
        <v>408500</v>
      </c>
      <c r="D248" s="33">
        <f t="shared" ref="D248" si="429">SUM(D249:D251)</f>
        <v>478500</v>
      </c>
      <c r="E248" s="33">
        <f t="shared" ref="E248" si="430">SUM(E249:E251)</f>
        <v>354350.88</v>
      </c>
      <c r="F248" s="33">
        <f t="shared" ref="F248" si="431">SUM(F249:F251)</f>
        <v>2964000</v>
      </c>
      <c r="G248" s="33">
        <f t="shared" ref="G248" si="432">SUM(G249:G251)</f>
        <v>0</v>
      </c>
      <c r="H248" s="33">
        <f t="shared" ref="H248" si="433">SUM(H249:H251)</f>
        <v>3486000</v>
      </c>
      <c r="I248" s="33">
        <f t="shared" ref="I248" si="434">SUM(I249:I251)</f>
        <v>3007500</v>
      </c>
      <c r="J248" s="33">
        <f t="shared" ref="J248" si="435">SUM(J249:J251)</f>
        <v>0</v>
      </c>
      <c r="K248" s="33">
        <f t="shared" ref="K248" si="436">SUM(K249:K251)</f>
        <v>0</v>
      </c>
    </row>
    <row r="249" spans="1:11" s="8" customFormat="1">
      <c r="A249" s="27" t="s">
        <v>122</v>
      </c>
      <c r="B249" s="27" t="s">
        <v>123</v>
      </c>
      <c r="C249" s="28">
        <v>106500</v>
      </c>
      <c r="D249" s="28">
        <v>106500</v>
      </c>
      <c r="E249" s="28"/>
      <c r="F249" s="28"/>
      <c r="G249" s="28"/>
      <c r="H249" s="28">
        <v>107000</v>
      </c>
      <c r="I249" s="28">
        <f>H249-D249</f>
        <v>500</v>
      </c>
      <c r="J249" s="28"/>
      <c r="K249" s="28"/>
    </row>
    <row r="250" spans="1:11" s="8" customFormat="1">
      <c r="A250" s="27" t="s">
        <v>124</v>
      </c>
      <c r="B250" s="27" t="s">
        <v>125</v>
      </c>
      <c r="C250" s="28">
        <v>242000</v>
      </c>
      <c r="D250" s="28">
        <v>312000</v>
      </c>
      <c r="E250" s="29">
        <v>354350.88</v>
      </c>
      <c r="F250" s="28">
        <v>2750000</v>
      </c>
      <c r="G250" s="28"/>
      <c r="H250" s="28">
        <v>2737000</v>
      </c>
      <c r="I250" s="28">
        <f>H250-D250</f>
        <v>2425000</v>
      </c>
      <c r="J250" s="28"/>
      <c r="K250" s="28"/>
    </row>
    <row r="251" spans="1:11" s="8" customFormat="1">
      <c r="A251" s="27" t="s">
        <v>160</v>
      </c>
      <c r="B251" s="27" t="s">
        <v>161</v>
      </c>
      <c r="C251" s="28">
        <v>60000</v>
      </c>
      <c r="D251" s="28">
        <v>60000</v>
      </c>
      <c r="E251" s="28"/>
      <c r="F251" s="28">
        <v>214000</v>
      </c>
      <c r="G251" s="28"/>
      <c r="H251" s="28">
        <v>642000</v>
      </c>
      <c r="I251" s="28">
        <f>H251-D251</f>
        <v>582000</v>
      </c>
      <c r="J251" s="28"/>
      <c r="K251" s="28"/>
    </row>
    <row r="252" spans="1:11" s="19" customFormat="1" ht="20.399999999999999">
      <c r="A252" s="16" t="s">
        <v>214</v>
      </c>
      <c r="B252" s="17" t="s">
        <v>215</v>
      </c>
      <c r="C252" s="18">
        <f>SUM(C253)</f>
        <v>10829500</v>
      </c>
      <c r="D252" s="18">
        <f t="shared" ref="D252:K252" si="437">SUM(D253)</f>
        <v>520500</v>
      </c>
      <c r="E252" s="18">
        <f t="shared" si="437"/>
        <v>0</v>
      </c>
      <c r="F252" s="18">
        <f t="shared" si="437"/>
        <v>1005000</v>
      </c>
      <c r="G252" s="18">
        <f t="shared" si="437"/>
        <v>0</v>
      </c>
      <c r="H252" s="18">
        <f t="shared" si="437"/>
        <v>9837000</v>
      </c>
      <c r="I252" s="18">
        <f t="shared" si="437"/>
        <v>9316500</v>
      </c>
      <c r="J252" s="18">
        <f t="shared" si="437"/>
        <v>0</v>
      </c>
      <c r="K252" s="18">
        <f t="shared" si="437"/>
        <v>0</v>
      </c>
    </row>
    <row r="253" spans="1:11" s="8" customFormat="1">
      <c r="A253" s="36" t="s">
        <v>196</v>
      </c>
      <c r="B253" s="37" t="s">
        <v>197</v>
      </c>
      <c r="C253" s="38">
        <f t="shared" ref="C253" si="438">SUM(C261,C258,C254)</f>
        <v>10829500</v>
      </c>
      <c r="D253" s="38">
        <f t="shared" ref="D253" si="439">SUM(D261,D258,D254)</f>
        <v>520500</v>
      </c>
      <c r="E253" s="38">
        <f t="shared" ref="E253" si="440">SUM(E261,E258,E254)</f>
        <v>0</v>
      </c>
      <c r="F253" s="38">
        <f t="shared" ref="F253" si="441">SUM(F261,F258,F254)</f>
        <v>1005000</v>
      </c>
      <c r="G253" s="38">
        <f t="shared" ref="G253" si="442">SUM(G261,G258,G254)</f>
        <v>0</v>
      </c>
      <c r="H253" s="38">
        <f t="shared" ref="H253" si="443">SUM(H261,H258,H254)</f>
        <v>9837000</v>
      </c>
      <c r="I253" s="38">
        <f t="shared" ref="I253" si="444">SUM(I261,I258,I254)</f>
        <v>9316500</v>
      </c>
      <c r="J253" s="38">
        <f t="shared" ref="J253" si="445">SUM(J261,J258,J254)</f>
        <v>0</v>
      </c>
      <c r="K253" s="38">
        <f t="shared" ref="K253" si="446">SUM(K261,K258,K254)</f>
        <v>0</v>
      </c>
    </row>
    <row r="254" spans="1:11" s="8" customFormat="1">
      <c r="A254" s="30" t="s">
        <v>39</v>
      </c>
      <c r="B254" s="31" t="s">
        <v>40</v>
      </c>
      <c r="C254" s="33">
        <f t="shared" ref="C254" si="447">SUM(C255:C257)</f>
        <v>9010500</v>
      </c>
      <c r="D254" s="33">
        <f t="shared" ref="D254" si="448">SUM(D255:D257)</f>
        <v>210500</v>
      </c>
      <c r="E254" s="33">
        <f t="shared" ref="E254" si="449">SUM(E255:E257)</f>
        <v>0</v>
      </c>
      <c r="F254" s="33">
        <f t="shared" ref="F254" si="450">SUM(F255:F257)</f>
        <v>1005000</v>
      </c>
      <c r="G254" s="33">
        <f t="shared" ref="G254" si="451">SUM(G255:G257)</f>
        <v>0</v>
      </c>
      <c r="H254" s="33">
        <f t="shared" ref="H254" si="452">SUM(H255:H257)</f>
        <v>8019000</v>
      </c>
      <c r="I254" s="33">
        <f t="shared" ref="I254" si="453">SUM(I255:I257)</f>
        <v>7808500</v>
      </c>
      <c r="J254" s="33">
        <f t="shared" ref="J254" si="454">SUM(J255:J257)</f>
        <v>0</v>
      </c>
      <c r="K254" s="33">
        <f t="shared" ref="K254" si="455">SUM(K255:K257)</f>
        <v>0</v>
      </c>
    </row>
    <row r="255" spans="1:11" s="8" customFormat="1">
      <c r="A255" s="45" t="s">
        <v>49</v>
      </c>
      <c r="B255" s="45" t="s">
        <v>50</v>
      </c>
      <c r="C255" s="28">
        <v>9000000</v>
      </c>
      <c r="D255" s="28">
        <v>200000</v>
      </c>
      <c r="E255" s="28"/>
      <c r="F255" s="28">
        <v>1000000</v>
      </c>
      <c r="G255" s="28"/>
      <c r="H255" s="180">
        <f>10000000-2000000</f>
        <v>8000000</v>
      </c>
      <c r="I255" s="28">
        <f>H255-D255</f>
        <v>7800000</v>
      </c>
      <c r="J255" s="28"/>
      <c r="K255" s="28"/>
    </row>
    <row r="256" spans="1:11" s="8" customFormat="1">
      <c r="A256" s="45" t="s">
        <v>65</v>
      </c>
      <c r="B256" s="45" t="s">
        <v>66</v>
      </c>
      <c r="C256" s="28">
        <v>2500</v>
      </c>
      <c r="D256" s="28">
        <v>2500</v>
      </c>
      <c r="E256" s="28"/>
      <c r="F256" s="28"/>
      <c r="G256" s="28"/>
      <c r="H256" s="28"/>
      <c r="I256" s="28">
        <f>H256-D256</f>
        <v>-2500</v>
      </c>
      <c r="J256" s="28"/>
      <c r="K256" s="28"/>
    </row>
    <row r="257" spans="1:11" s="8" customFormat="1">
      <c r="A257" s="45" t="s">
        <v>82</v>
      </c>
      <c r="B257" s="45" t="s">
        <v>83</v>
      </c>
      <c r="C257" s="28">
        <v>8000</v>
      </c>
      <c r="D257" s="28">
        <v>8000</v>
      </c>
      <c r="E257" s="28"/>
      <c r="F257" s="28">
        <v>5000</v>
      </c>
      <c r="G257" s="28"/>
      <c r="H257" s="28">
        <v>19000</v>
      </c>
      <c r="I257" s="28">
        <f>H257-D257</f>
        <v>11000</v>
      </c>
      <c r="J257" s="28"/>
      <c r="K257" s="28"/>
    </row>
    <row r="258" spans="1:11" s="8" customFormat="1" ht="20.399999999999999">
      <c r="A258" s="23" t="s">
        <v>116</v>
      </c>
      <c r="B258" s="24" t="s">
        <v>117</v>
      </c>
      <c r="C258" s="33">
        <f t="shared" ref="C258" si="456">SUM(C259:C260)</f>
        <v>1619000</v>
      </c>
      <c r="D258" s="33">
        <f t="shared" ref="D258" si="457">SUM(D259:D260)</f>
        <v>300000</v>
      </c>
      <c r="E258" s="33">
        <f t="shared" ref="E258" si="458">SUM(E259:E260)</f>
        <v>0</v>
      </c>
      <c r="F258" s="33">
        <f t="shared" ref="F258" si="459">SUM(F259:F260)</f>
        <v>0</v>
      </c>
      <c r="G258" s="33">
        <f t="shared" ref="G258" si="460">SUM(G259:G260)</f>
        <v>0</v>
      </c>
      <c r="H258" s="33">
        <f t="shared" ref="H258" si="461">SUM(H259:H260)</f>
        <v>1518000</v>
      </c>
      <c r="I258" s="33">
        <f t="shared" ref="I258" si="462">SUM(I259:I260)</f>
        <v>1218000</v>
      </c>
      <c r="J258" s="33">
        <f t="shared" ref="J258" si="463">SUM(J259:J260)</f>
        <v>0</v>
      </c>
      <c r="K258" s="33">
        <f t="shared" ref="K258" si="464">SUM(K259:K260)</f>
        <v>0</v>
      </c>
    </row>
    <row r="259" spans="1:11" s="8" customFormat="1">
      <c r="A259" s="45" t="s">
        <v>118</v>
      </c>
      <c r="B259" s="45" t="s">
        <v>119</v>
      </c>
      <c r="C259" s="28">
        <v>19000</v>
      </c>
      <c r="D259" s="28"/>
      <c r="E259" s="28"/>
      <c r="F259" s="28"/>
      <c r="G259" s="28"/>
      <c r="H259" s="28">
        <v>18000</v>
      </c>
      <c r="I259" s="28">
        <f>H259-D259</f>
        <v>18000</v>
      </c>
      <c r="J259" s="28"/>
      <c r="K259" s="28"/>
    </row>
    <row r="260" spans="1:11" s="8" customFormat="1">
      <c r="A260" s="45" t="s">
        <v>124</v>
      </c>
      <c r="B260" s="45" t="s">
        <v>125</v>
      </c>
      <c r="C260" s="28">
        <v>1600000</v>
      </c>
      <c r="D260" s="28">
        <v>300000</v>
      </c>
      <c r="E260" s="28"/>
      <c r="F260" s="28"/>
      <c r="G260" s="28"/>
      <c r="H260" s="180">
        <f>2000000-500000</f>
        <v>1500000</v>
      </c>
      <c r="I260" s="28">
        <f>H260-D260</f>
        <v>1200000</v>
      </c>
      <c r="J260" s="28"/>
      <c r="K260" s="28"/>
    </row>
    <row r="261" spans="1:11" s="8" customFormat="1" ht="20.399999999999999">
      <c r="A261" s="23" t="s">
        <v>134</v>
      </c>
      <c r="B261" s="24" t="s">
        <v>135</v>
      </c>
      <c r="C261" s="33">
        <f t="shared" ref="C261" si="465">SUM(C262)</f>
        <v>200000</v>
      </c>
      <c r="D261" s="33">
        <f t="shared" ref="D261" si="466">SUM(D262)</f>
        <v>10000</v>
      </c>
      <c r="E261" s="33">
        <f t="shared" ref="E261" si="467">SUM(E262)</f>
        <v>0</v>
      </c>
      <c r="F261" s="33">
        <f t="shared" ref="F261" si="468">SUM(F262)</f>
        <v>0</v>
      </c>
      <c r="G261" s="33">
        <f t="shared" ref="G261" si="469">SUM(G262)</f>
        <v>0</v>
      </c>
      <c r="H261" s="33">
        <f t="shared" ref="H261" si="470">SUM(H262)</f>
        <v>300000</v>
      </c>
      <c r="I261" s="33">
        <f t="shared" ref="I261" si="471">SUM(I262)</f>
        <v>290000</v>
      </c>
      <c r="J261" s="33">
        <f t="shared" ref="J261" si="472">SUM(J262)</f>
        <v>0</v>
      </c>
      <c r="K261" s="33">
        <f t="shared" ref="K261" si="473">SUM(K262)</f>
        <v>0</v>
      </c>
    </row>
    <row r="262" spans="1:11" s="8" customFormat="1">
      <c r="A262" s="45" t="s">
        <v>137</v>
      </c>
      <c r="B262" s="45" t="s">
        <v>136</v>
      </c>
      <c r="C262" s="28">
        <v>200000</v>
      </c>
      <c r="D262" s="28">
        <v>10000</v>
      </c>
      <c r="E262" s="28"/>
      <c r="F262" s="28"/>
      <c r="G262" s="28"/>
      <c r="H262" s="28">
        <v>300000</v>
      </c>
      <c r="I262" s="28">
        <f>H262-D262</f>
        <v>290000</v>
      </c>
      <c r="J262" s="28"/>
      <c r="K262" s="28"/>
    </row>
    <row r="263" spans="1:11" s="19" customFormat="1" ht="30.6">
      <c r="A263" s="35" t="s">
        <v>216</v>
      </c>
      <c r="B263" s="17" t="s">
        <v>217</v>
      </c>
      <c r="C263" s="18">
        <f>SUM(C264)</f>
        <v>67500</v>
      </c>
      <c r="D263" s="18">
        <f t="shared" ref="D263:K263" si="474">SUM(D264)</f>
        <v>67500</v>
      </c>
      <c r="E263" s="18">
        <f t="shared" si="474"/>
        <v>0</v>
      </c>
      <c r="F263" s="18">
        <f t="shared" si="474"/>
        <v>204000</v>
      </c>
      <c r="G263" s="18">
        <f t="shared" si="474"/>
        <v>825000</v>
      </c>
      <c r="H263" s="18">
        <f t="shared" si="474"/>
        <v>137600</v>
      </c>
      <c r="I263" s="18">
        <f t="shared" si="474"/>
        <v>70100</v>
      </c>
      <c r="J263" s="18">
        <f t="shared" si="474"/>
        <v>392400</v>
      </c>
      <c r="K263" s="18">
        <f t="shared" si="474"/>
        <v>60000</v>
      </c>
    </row>
    <row r="264" spans="1:11" s="8" customFormat="1">
      <c r="A264" s="36" t="s">
        <v>196</v>
      </c>
      <c r="B264" s="37" t="s">
        <v>197</v>
      </c>
      <c r="C264" s="38">
        <f t="shared" ref="C264:K264" si="475">SUM(C270,C265)</f>
        <v>67500</v>
      </c>
      <c r="D264" s="38">
        <f t="shared" si="475"/>
        <v>67500</v>
      </c>
      <c r="E264" s="38">
        <f t="shared" si="475"/>
        <v>0</v>
      </c>
      <c r="F264" s="38">
        <f t="shared" si="475"/>
        <v>204000</v>
      </c>
      <c r="G264" s="38">
        <f t="shared" si="475"/>
        <v>825000</v>
      </c>
      <c r="H264" s="38">
        <f t="shared" si="475"/>
        <v>137600</v>
      </c>
      <c r="I264" s="38">
        <f t="shared" si="475"/>
        <v>70100</v>
      </c>
      <c r="J264" s="38">
        <f t="shared" si="475"/>
        <v>392400</v>
      </c>
      <c r="K264" s="38">
        <f t="shared" si="475"/>
        <v>60000</v>
      </c>
    </row>
    <row r="265" spans="1:11" s="8" customFormat="1" ht="20.399999999999999">
      <c r="A265" s="30" t="s">
        <v>116</v>
      </c>
      <c r="B265" s="31" t="s">
        <v>117</v>
      </c>
      <c r="C265" s="33">
        <f>SUM(C266:C269)</f>
        <v>22500</v>
      </c>
      <c r="D265" s="33">
        <f t="shared" ref="D265:K265" si="476">SUM(D266:D269)</f>
        <v>22500</v>
      </c>
      <c r="E265" s="33">
        <f t="shared" si="476"/>
        <v>0</v>
      </c>
      <c r="F265" s="33">
        <f t="shared" si="476"/>
        <v>99000</v>
      </c>
      <c r="G265" s="33">
        <f t="shared" si="476"/>
        <v>675000</v>
      </c>
      <c r="H265" s="33">
        <f t="shared" si="476"/>
        <v>30600</v>
      </c>
      <c r="I265" s="33">
        <f t="shared" si="476"/>
        <v>8100</v>
      </c>
      <c r="J265" s="33">
        <f t="shared" si="476"/>
        <v>29400</v>
      </c>
      <c r="K265" s="33">
        <f t="shared" si="476"/>
        <v>30000</v>
      </c>
    </row>
    <row r="266" spans="1:11" s="8" customFormat="1">
      <c r="A266" s="45" t="s">
        <v>118</v>
      </c>
      <c r="B266" s="45" t="s">
        <v>119</v>
      </c>
      <c r="C266" s="100"/>
      <c r="D266" s="100"/>
      <c r="E266" s="100"/>
      <c r="F266" s="100"/>
      <c r="G266" s="100"/>
      <c r="H266" s="100"/>
      <c r="I266" s="100">
        <f>H266-D266</f>
        <v>0</v>
      </c>
      <c r="J266" s="100"/>
      <c r="K266" s="100">
        <v>30000</v>
      </c>
    </row>
    <row r="267" spans="1:11" s="8" customFormat="1">
      <c r="A267" s="27" t="s">
        <v>122</v>
      </c>
      <c r="B267" s="99" t="s">
        <v>123</v>
      </c>
      <c r="C267" s="100"/>
      <c r="D267" s="100"/>
      <c r="E267" s="100"/>
      <c r="F267" s="100"/>
      <c r="G267" s="100"/>
      <c r="H267" s="100">
        <v>10000</v>
      </c>
      <c r="I267" s="100">
        <f>H267-D267</f>
        <v>10000</v>
      </c>
      <c r="J267" s="100">
        <v>3000</v>
      </c>
      <c r="K267" s="100"/>
    </row>
    <row r="268" spans="1:11" s="8" customFormat="1">
      <c r="A268" s="27" t="s">
        <v>160</v>
      </c>
      <c r="B268" s="27" t="s">
        <v>161</v>
      </c>
      <c r="C268" s="28">
        <v>7500</v>
      </c>
      <c r="D268" s="28">
        <v>7500</v>
      </c>
      <c r="E268" s="28"/>
      <c r="F268" s="28">
        <v>27000</v>
      </c>
      <c r="G268" s="28"/>
      <c r="H268" s="135">
        <f>20000</f>
        <v>20000</v>
      </c>
      <c r="I268" s="28">
        <f>H268-D268</f>
        <v>12500</v>
      </c>
      <c r="J268" s="28">
        <v>3000</v>
      </c>
      <c r="K268" s="28"/>
    </row>
    <row r="269" spans="1:11" s="8" customFormat="1" ht="20.399999999999999">
      <c r="A269" s="27" t="s">
        <v>208</v>
      </c>
      <c r="B269" s="27" t="s">
        <v>209</v>
      </c>
      <c r="C269" s="28">
        <v>15000</v>
      </c>
      <c r="D269" s="28">
        <v>15000</v>
      </c>
      <c r="E269" s="28"/>
      <c r="F269" s="28">
        <v>72000</v>
      </c>
      <c r="G269" s="28">
        <v>675000</v>
      </c>
      <c r="H269" s="132">
        <f>55000-20000-34400</f>
        <v>600</v>
      </c>
      <c r="I269" s="132">
        <f>H269-D269</f>
        <v>-14400</v>
      </c>
      <c r="J269" s="132">
        <f>67000-43600</f>
        <v>23400</v>
      </c>
      <c r="K269" s="28"/>
    </row>
    <row r="270" spans="1:11" s="8" customFormat="1" ht="20.399999999999999">
      <c r="A270" s="30" t="s">
        <v>134</v>
      </c>
      <c r="B270" s="31" t="s">
        <v>135</v>
      </c>
      <c r="C270" s="33">
        <f t="shared" ref="C270" si="477">SUM(C271)</f>
        <v>45000</v>
      </c>
      <c r="D270" s="33">
        <f t="shared" ref="D270" si="478">SUM(D271)</f>
        <v>45000</v>
      </c>
      <c r="E270" s="33">
        <f t="shared" ref="E270" si="479">SUM(E271)</f>
        <v>0</v>
      </c>
      <c r="F270" s="33">
        <f t="shared" ref="F270" si="480">SUM(F271)</f>
        <v>105000</v>
      </c>
      <c r="G270" s="33">
        <f t="shared" ref="G270" si="481">SUM(G271)</f>
        <v>150000</v>
      </c>
      <c r="H270" s="33">
        <f t="shared" ref="H270" si="482">SUM(H271)</f>
        <v>107000</v>
      </c>
      <c r="I270" s="33">
        <f t="shared" ref="I270" si="483">SUM(I271)</f>
        <v>62000</v>
      </c>
      <c r="J270" s="33">
        <f t="shared" ref="J270" si="484">SUM(J271)</f>
        <v>363000</v>
      </c>
      <c r="K270" s="33">
        <f t="shared" ref="K270" si="485">SUM(K271)</f>
        <v>30000</v>
      </c>
    </row>
    <row r="271" spans="1:11" s="8" customFormat="1">
      <c r="A271" s="27" t="s">
        <v>137</v>
      </c>
      <c r="B271" s="27" t="s">
        <v>136</v>
      </c>
      <c r="C271" s="28">
        <v>45000</v>
      </c>
      <c r="D271" s="28">
        <v>45000</v>
      </c>
      <c r="E271" s="28"/>
      <c r="F271" s="28">
        <v>105000</v>
      </c>
      <c r="G271" s="28">
        <v>150000</v>
      </c>
      <c r="H271" s="28">
        <v>107000</v>
      </c>
      <c r="I271" s="28">
        <f>H271-D271</f>
        <v>62000</v>
      </c>
      <c r="J271" s="28">
        <v>363000</v>
      </c>
      <c r="K271" s="28">
        <v>30000</v>
      </c>
    </row>
    <row r="272" spans="1:11" s="8" customFormat="1" ht="20.399999999999999">
      <c r="A272" s="91" t="s">
        <v>271</v>
      </c>
      <c r="B272" s="101" t="s">
        <v>275</v>
      </c>
      <c r="C272" s="15">
        <f>SUM(C273)</f>
        <v>0</v>
      </c>
      <c r="D272" s="15">
        <f t="shared" ref="D272:K272" si="486">SUM(D273)</f>
        <v>2409000</v>
      </c>
      <c r="E272" s="15">
        <f t="shared" si="486"/>
        <v>0</v>
      </c>
      <c r="F272" s="15">
        <f t="shared" si="486"/>
        <v>0</v>
      </c>
      <c r="G272" s="15">
        <f t="shared" si="486"/>
        <v>0</v>
      </c>
      <c r="H272" s="15">
        <f t="shared" si="486"/>
        <v>4919200</v>
      </c>
      <c r="I272" s="15">
        <f t="shared" si="486"/>
        <v>2510200</v>
      </c>
      <c r="J272" s="15">
        <f t="shared" si="486"/>
        <v>5185800</v>
      </c>
      <c r="K272" s="15">
        <f t="shared" si="486"/>
        <v>1526000</v>
      </c>
    </row>
    <row r="273" spans="1:11" s="8" customFormat="1">
      <c r="A273" s="36" t="s">
        <v>196</v>
      </c>
      <c r="B273" s="37" t="s">
        <v>197</v>
      </c>
      <c r="C273" s="38">
        <f>SUM(C274,C286,C288)</f>
        <v>0</v>
      </c>
      <c r="D273" s="38">
        <f>SUM(D274,D286,D288,D299)</f>
        <v>2409000</v>
      </c>
      <c r="E273" s="38">
        <f t="shared" ref="E273:K273" si="487">SUM(E274,E286,E288,E299)</f>
        <v>0</v>
      </c>
      <c r="F273" s="38">
        <f t="shared" si="487"/>
        <v>0</v>
      </c>
      <c r="G273" s="38">
        <f t="shared" si="487"/>
        <v>0</v>
      </c>
      <c r="H273" s="38">
        <f t="shared" si="487"/>
        <v>4919200</v>
      </c>
      <c r="I273" s="38">
        <f t="shared" si="487"/>
        <v>2510200</v>
      </c>
      <c r="J273" s="38">
        <f t="shared" si="487"/>
        <v>5185800</v>
      </c>
      <c r="K273" s="38">
        <f t="shared" si="487"/>
        <v>1526000</v>
      </c>
    </row>
    <row r="274" spans="1:11" s="8" customFormat="1">
      <c r="A274" s="30" t="s">
        <v>39</v>
      </c>
      <c r="B274" s="31" t="s">
        <v>40</v>
      </c>
      <c r="C274" s="33">
        <f>SUM(C275:C285)</f>
        <v>0</v>
      </c>
      <c r="D274" s="33">
        <f t="shared" ref="D274:H274" si="488">SUM(D275:D285)</f>
        <v>2057500</v>
      </c>
      <c r="E274" s="33">
        <f t="shared" si="488"/>
        <v>0</v>
      </c>
      <c r="F274" s="33">
        <f t="shared" si="488"/>
        <v>0</v>
      </c>
      <c r="G274" s="33">
        <f t="shared" si="488"/>
        <v>0</v>
      </c>
      <c r="H274" s="33">
        <f t="shared" si="488"/>
        <v>1748500</v>
      </c>
      <c r="I274" s="33">
        <f>SUM(I275:I285)</f>
        <v>-309000</v>
      </c>
      <c r="J274" s="33">
        <f t="shared" ref="J274" si="489">SUM(J275:J285)</f>
        <v>187000</v>
      </c>
      <c r="K274" s="33">
        <f t="shared" ref="K274" si="490">SUM(K275:K285)</f>
        <v>66000</v>
      </c>
    </row>
    <row r="275" spans="1:11" s="8" customFormat="1">
      <c r="A275" s="27" t="s">
        <v>29</v>
      </c>
      <c r="B275" s="99" t="s">
        <v>30</v>
      </c>
      <c r="C275" s="100"/>
      <c r="D275" s="100">
        <v>41000</v>
      </c>
      <c r="E275" s="100"/>
      <c r="F275" s="100"/>
      <c r="G275" s="100"/>
      <c r="H275" s="100">
        <v>23000</v>
      </c>
      <c r="I275" s="100">
        <f t="shared" ref="I275:I285" si="491">H275-D275</f>
        <v>-18000</v>
      </c>
      <c r="J275" s="100">
        <f>15000+17000</f>
        <v>32000</v>
      </c>
      <c r="K275" s="100">
        <f>15000+9000</f>
        <v>24000</v>
      </c>
    </row>
    <row r="276" spans="1:11" s="8" customFormat="1">
      <c r="A276" s="27" t="s">
        <v>41</v>
      </c>
      <c r="B276" s="99" t="s">
        <v>42</v>
      </c>
      <c r="C276" s="100"/>
      <c r="D276" s="100"/>
      <c r="E276" s="100"/>
      <c r="F276" s="100"/>
      <c r="G276" s="100"/>
      <c r="H276" s="100">
        <v>1500</v>
      </c>
      <c r="I276" s="100">
        <f t="shared" si="491"/>
        <v>1500</v>
      </c>
      <c r="J276" s="100">
        <f>2000+35000</f>
        <v>37000</v>
      </c>
      <c r="K276" s="100">
        <f>1000</f>
        <v>1000</v>
      </c>
    </row>
    <row r="277" spans="1:11" s="8" customFormat="1">
      <c r="A277" s="27" t="s">
        <v>49</v>
      </c>
      <c r="B277" s="99" t="s">
        <v>50</v>
      </c>
      <c r="C277" s="100"/>
      <c r="D277" s="100">
        <v>3000</v>
      </c>
      <c r="E277" s="100"/>
      <c r="F277" s="100"/>
      <c r="G277" s="100"/>
      <c r="H277" s="100">
        <v>12000</v>
      </c>
      <c r="I277" s="100">
        <f t="shared" si="491"/>
        <v>9000</v>
      </c>
      <c r="J277" s="100"/>
      <c r="K277" s="100"/>
    </row>
    <row r="278" spans="1:11" s="8" customFormat="1">
      <c r="A278" s="27" t="s">
        <v>51</v>
      </c>
      <c r="B278" s="99" t="s">
        <v>52</v>
      </c>
      <c r="C278" s="100"/>
      <c r="D278" s="100">
        <v>3000</v>
      </c>
      <c r="E278" s="100"/>
      <c r="F278" s="100"/>
      <c r="G278" s="100"/>
      <c r="H278" s="100">
        <v>10500</v>
      </c>
      <c r="I278" s="100">
        <f t="shared" si="491"/>
        <v>7500</v>
      </c>
      <c r="J278" s="100"/>
      <c r="K278" s="100"/>
    </row>
    <row r="279" spans="1:11" s="8" customFormat="1">
      <c r="A279" s="27" t="s">
        <v>57</v>
      </c>
      <c r="B279" s="99" t="s">
        <v>58</v>
      </c>
      <c r="C279" s="100"/>
      <c r="D279" s="100">
        <v>2500</v>
      </c>
      <c r="E279" s="100"/>
      <c r="F279" s="100"/>
      <c r="G279" s="100"/>
      <c r="H279" s="100">
        <v>187000</v>
      </c>
      <c r="I279" s="100">
        <f t="shared" si="491"/>
        <v>184500</v>
      </c>
      <c r="J279" s="100">
        <f>2000</f>
        <v>2000</v>
      </c>
      <c r="K279" s="100"/>
    </row>
    <row r="280" spans="1:11" s="8" customFormat="1">
      <c r="A280" s="27" t="s">
        <v>59</v>
      </c>
      <c r="B280" s="99" t="s">
        <v>60</v>
      </c>
      <c r="C280" s="100"/>
      <c r="D280" s="100">
        <v>1950000</v>
      </c>
      <c r="E280" s="100"/>
      <c r="F280" s="100"/>
      <c r="G280" s="100"/>
      <c r="H280" s="100">
        <v>1440000</v>
      </c>
      <c r="I280" s="100">
        <f t="shared" si="491"/>
        <v>-510000</v>
      </c>
      <c r="J280" s="100">
        <f>44000</f>
        <v>44000</v>
      </c>
      <c r="K280" s="100"/>
    </row>
    <row r="281" spans="1:11" s="8" customFormat="1">
      <c r="A281" s="27" t="s">
        <v>65</v>
      </c>
      <c r="B281" s="99" t="s">
        <v>66</v>
      </c>
      <c r="C281" s="100"/>
      <c r="D281" s="100">
        <v>6000</v>
      </c>
      <c r="E281" s="100"/>
      <c r="F281" s="100"/>
      <c r="G281" s="100"/>
      <c r="H281" s="100">
        <v>19000</v>
      </c>
      <c r="I281" s="100">
        <f t="shared" si="491"/>
        <v>13000</v>
      </c>
      <c r="J281" s="100">
        <f>1000+2000+1000</f>
        <v>4000</v>
      </c>
      <c r="K281" s="100">
        <f>1000</f>
        <v>1000</v>
      </c>
    </row>
    <row r="282" spans="1:11" s="8" customFormat="1">
      <c r="A282" s="27" t="s">
        <v>69</v>
      </c>
      <c r="B282" s="99" t="s">
        <v>70</v>
      </c>
      <c r="C282" s="100"/>
      <c r="D282" s="100">
        <v>500</v>
      </c>
      <c r="E282" s="100"/>
      <c r="F282" s="100"/>
      <c r="G282" s="100"/>
      <c r="H282" s="100">
        <v>500</v>
      </c>
      <c r="I282" s="100">
        <f t="shared" si="491"/>
        <v>0</v>
      </c>
      <c r="J282" s="100">
        <f>1000</f>
        <v>1000</v>
      </c>
      <c r="K282" s="100"/>
    </row>
    <row r="283" spans="1:11" s="8" customFormat="1">
      <c r="A283" s="27" t="s">
        <v>73</v>
      </c>
      <c r="B283" s="99" t="s">
        <v>74</v>
      </c>
      <c r="C283" s="100"/>
      <c r="D283" s="100">
        <v>51000</v>
      </c>
      <c r="E283" s="100"/>
      <c r="F283" s="100"/>
      <c r="G283" s="100"/>
      <c r="H283" s="100">
        <v>49000</v>
      </c>
      <c r="I283" s="100">
        <f t="shared" si="491"/>
        <v>-2000</v>
      </c>
      <c r="J283" s="100">
        <f>45000+3000+16000</f>
        <v>64000</v>
      </c>
      <c r="K283" s="100">
        <f>30000+10000</f>
        <v>40000</v>
      </c>
    </row>
    <row r="284" spans="1:11" s="8" customFormat="1">
      <c r="A284" s="27" t="s">
        <v>75</v>
      </c>
      <c r="B284" s="27" t="s">
        <v>76</v>
      </c>
      <c r="C284" s="28"/>
      <c r="D284" s="28"/>
      <c r="E284" s="28"/>
      <c r="F284" s="28"/>
      <c r="G284" s="28"/>
      <c r="H284" s="28">
        <v>6000</v>
      </c>
      <c r="I284" s="28">
        <f t="shared" si="491"/>
        <v>6000</v>
      </c>
      <c r="J284" s="28">
        <f>1000+1000</f>
        <v>2000</v>
      </c>
      <c r="K284" s="28"/>
    </row>
    <row r="285" spans="1:11" s="8" customFormat="1">
      <c r="A285" s="27" t="s">
        <v>84</v>
      </c>
      <c r="B285" s="27" t="s">
        <v>85</v>
      </c>
      <c r="C285" s="28"/>
      <c r="D285" s="28">
        <v>500</v>
      </c>
      <c r="E285" s="28"/>
      <c r="F285" s="28"/>
      <c r="G285" s="28"/>
      <c r="H285" s="28"/>
      <c r="I285" s="28">
        <f t="shared" si="491"/>
        <v>-500</v>
      </c>
      <c r="J285" s="28">
        <v>1000</v>
      </c>
      <c r="K285" s="28"/>
    </row>
    <row r="286" spans="1:11" s="8" customFormat="1">
      <c r="A286" s="30" t="s">
        <v>273</v>
      </c>
      <c r="B286" s="31" t="s">
        <v>94</v>
      </c>
      <c r="C286" s="33">
        <f>SUM(C287)</f>
        <v>0</v>
      </c>
      <c r="D286" s="33">
        <f t="shared" ref="D286:K286" si="492">SUM(D287)</f>
        <v>0</v>
      </c>
      <c r="E286" s="33">
        <f t="shared" si="492"/>
        <v>0</v>
      </c>
      <c r="F286" s="33">
        <f t="shared" si="492"/>
        <v>0</v>
      </c>
      <c r="G286" s="33">
        <f t="shared" si="492"/>
        <v>0</v>
      </c>
      <c r="H286" s="33">
        <f t="shared" si="492"/>
        <v>0</v>
      </c>
      <c r="I286" s="33">
        <f t="shared" si="492"/>
        <v>0</v>
      </c>
      <c r="J286" s="33">
        <f t="shared" si="492"/>
        <v>0</v>
      </c>
      <c r="K286" s="33">
        <f t="shared" si="492"/>
        <v>0</v>
      </c>
    </row>
    <row r="287" spans="1:11" s="8" customFormat="1">
      <c r="A287" s="27" t="s">
        <v>99</v>
      </c>
      <c r="B287" s="27" t="s">
        <v>100</v>
      </c>
      <c r="C287" s="28"/>
      <c r="D287" s="28"/>
      <c r="E287" s="28"/>
      <c r="F287" s="28"/>
      <c r="G287" s="28"/>
      <c r="H287" s="28"/>
      <c r="I287" s="28">
        <f>H287-D287</f>
        <v>0</v>
      </c>
      <c r="J287" s="28"/>
      <c r="K287" s="28"/>
    </row>
    <row r="288" spans="1:11" s="8" customFormat="1" ht="20.399999999999999">
      <c r="A288" s="30" t="s">
        <v>274</v>
      </c>
      <c r="B288" s="31" t="s">
        <v>117</v>
      </c>
      <c r="C288" s="33">
        <f>SUM(C289:C298)</f>
        <v>0</v>
      </c>
      <c r="D288" s="33">
        <f t="shared" ref="D288:K288" si="493">SUM(D289:D298)</f>
        <v>51500</v>
      </c>
      <c r="E288" s="33">
        <f t="shared" si="493"/>
        <v>0</v>
      </c>
      <c r="F288" s="33">
        <f t="shared" si="493"/>
        <v>0</v>
      </c>
      <c r="G288" s="33">
        <f t="shared" si="493"/>
        <v>0</v>
      </c>
      <c r="H288" s="33">
        <f t="shared" si="493"/>
        <v>3020700</v>
      </c>
      <c r="I288" s="33">
        <f t="shared" si="493"/>
        <v>2969200</v>
      </c>
      <c r="J288" s="33">
        <f t="shared" si="493"/>
        <v>4998800</v>
      </c>
      <c r="K288" s="33">
        <f t="shared" si="493"/>
        <v>1460000</v>
      </c>
    </row>
    <row r="289" spans="1:11" s="8" customFormat="1">
      <c r="A289" s="27" t="s">
        <v>154</v>
      </c>
      <c r="B289" s="99" t="s">
        <v>155</v>
      </c>
      <c r="C289" s="100"/>
      <c r="D289" s="100">
        <v>7000</v>
      </c>
      <c r="E289" s="100"/>
      <c r="F289" s="100"/>
      <c r="G289" s="100"/>
      <c r="H289" s="100">
        <f>1500000-1229800</f>
        <v>270200</v>
      </c>
      <c r="I289" s="100">
        <f t="shared" ref="I289:I298" si="494">H289-D289</f>
        <v>263200</v>
      </c>
      <c r="J289" s="100">
        <f>1505000-576200</f>
        <v>928800</v>
      </c>
      <c r="K289" s="100">
        <f>930000</f>
        <v>930000</v>
      </c>
    </row>
    <row r="290" spans="1:11" s="8" customFormat="1">
      <c r="A290" s="27" t="s">
        <v>118</v>
      </c>
      <c r="B290" s="27" t="s">
        <v>119</v>
      </c>
      <c r="C290" s="28"/>
      <c r="D290" s="28">
        <v>2000</v>
      </c>
      <c r="E290" s="28"/>
      <c r="F290" s="28"/>
      <c r="G290" s="28"/>
      <c r="H290" s="28">
        <f>23000</f>
        <v>23000</v>
      </c>
      <c r="I290" s="28">
        <f t="shared" si="494"/>
        <v>21000</v>
      </c>
      <c r="J290" s="28">
        <f>3000</f>
        <v>3000</v>
      </c>
      <c r="K290" s="28">
        <f>135000</f>
        <v>135000</v>
      </c>
    </row>
    <row r="291" spans="1:11" s="8" customFormat="1">
      <c r="A291" s="27" t="s">
        <v>120</v>
      </c>
      <c r="B291" s="27" t="s">
        <v>121</v>
      </c>
      <c r="C291" s="28"/>
      <c r="D291" s="28">
        <v>7500</v>
      </c>
      <c r="E291" s="28"/>
      <c r="F291" s="28"/>
      <c r="G291" s="28"/>
      <c r="H291" s="28">
        <f>324000</f>
        <v>324000</v>
      </c>
      <c r="I291" s="28">
        <f t="shared" si="494"/>
        <v>316500</v>
      </c>
      <c r="J291" s="28">
        <f>75000</f>
        <v>75000</v>
      </c>
      <c r="K291" s="28"/>
    </row>
    <row r="292" spans="1:11" s="8" customFormat="1">
      <c r="A292" s="27" t="s">
        <v>122</v>
      </c>
      <c r="B292" s="27" t="s">
        <v>123</v>
      </c>
      <c r="C292" s="28"/>
      <c r="D292" s="28">
        <v>1500</v>
      </c>
      <c r="E292" s="28"/>
      <c r="F292" s="28"/>
      <c r="G292" s="28"/>
      <c r="H292" s="28">
        <v>286500</v>
      </c>
      <c r="I292" s="28">
        <f t="shared" si="494"/>
        <v>285000</v>
      </c>
      <c r="J292" s="28">
        <f>10000</f>
        <v>10000</v>
      </c>
      <c r="K292" s="28"/>
    </row>
    <row r="293" spans="1:11" s="8" customFormat="1">
      <c r="A293" s="27" t="s">
        <v>226</v>
      </c>
      <c r="B293" s="27" t="s">
        <v>227</v>
      </c>
      <c r="C293" s="28"/>
      <c r="D293" s="28"/>
      <c r="E293" s="28"/>
      <c r="F293" s="28"/>
      <c r="G293" s="28"/>
      <c r="H293" s="28">
        <f>14000</f>
        <v>14000</v>
      </c>
      <c r="I293" s="28">
        <f t="shared" si="494"/>
        <v>14000</v>
      </c>
      <c r="J293" s="28"/>
      <c r="K293" s="28"/>
    </row>
    <row r="294" spans="1:11" s="8" customFormat="1">
      <c r="A294" s="27" t="s">
        <v>186</v>
      </c>
      <c r="B294" s="27" t="s">
        <v>187</v>
      </c>
      <c r="C294" s="28"/>
      <c r="D294" s="28"/>
      <c r="E294" s="28"/>
      <c r="F294" s="28"/>
      <c r="G294" s="28"/>
      <c r="H294" s="28"/>
      <c r="I294" s="28">
        <f t="shared" si="494"/>
        <v>0</v>
      </c>
      <c r="J294" s="28"/>
      <c r="K294" s="28"/>
    </row>
    <row r="295" spans="1:11" s="8" customFormat="1">
      <c r="A295" s="27" t="s">
        <v>124</v>
      </c>
      <c r="B295" s="27" t="s">
        <v>125</v>
      </c>
      <c r="C295" s="28"/>
      <c r="D295" s="28"/>
      <c r="E295" s="28"/>
      <c r="F295" s="28"/>
      <c r="G295" s="28"/>
      <c r="H295" s="28">
        <v>633000</v>
      </c>
      <c r="I295" s="28">
        <f t="shared" si="494"/>
        <v>633000</v>
      </c>
      <c r="J295" s="28">
        <f>222000+390000</f>
        <v>612000</v>
      </c>
      <c r="K295" s="28">
        <f>135000+260000</f>
        <v>395000</v>
      </c>
    </row>
    <row r="296" spans="1:11" s="8" customFormat="1">
      <c r="A296" s="27" t="s">
        <v>160</v>
      </c>
      <c r="B296" s="27" t="s">
        <v>161</v>
      </c>
      <c r="C296" s="28"/>
      <c r="D296" s="28">
        <v>31500</v>
      </c>
      <c r="E296" s="28"/>
      <c r="F296" s="28"/>
      <c r="G296" s="28"/>
      <c r="H296" s="28">
        <v>550000</v>
      </c>
      <c r="I296" s="28">
        <f t="shared" si="494"/>
        <v>518500</v>
      </c>
      <c r="J296" s="28">
        <f>210000</f>
        <v>210000</v>
      </c>
      <c r="K296" s="28"/>
    </row>
    <row r="297" spans="1:11" s="8" customFormat="1" ht="20.399999999999999">
      <c r="A297" s="27" t="s">
        <v>208</v>
      </c>
      <c r="B297" s="27" t="s">
        <v>209</v>
      </c>
      <c r="C297" s="28"/>
      <c r="D297" s="28">
        <v>2000</v>
      </c>
      <c r="E297" s="28"/>
      <c r="F297" s="28"/>
      <c r="G297" s="28"/>
      <c r="H297" s="28">
        <f>120000</f>
        <v>120000</v>
      </c>
      <c r="I297" s="28">
        <f t="shared" si="494"/>
        <v>118000</v>
      </c>
      <c r="J297" s="28">
        <f>10000</f>
        <v>10000</v>
      </c>
      <c r="K297" s="28"/>
    </row>
    <row r="298" spans="1:11" s="8" customFormat="1">
      <c r="A298" s="27" t="s">
        <v>198</v>
      </c>
      <c r="B298" s="27" t="s">
        <v>199</v>
      </c>
      <c r="C298" s="28"/>
      <c r="D298" s="28"/>
      <c r="E298" s="28"/>
      <c r="F298" s="28"/>
      <c r="G298" s="28"/>
      <c r="H298" s="28">
        <v>800000</v>
      </c>
      <c r="I298" s="28">
        <f t="shared" si="494"/>
        <v>800000</v>
      </c>
      <c r="J298" s="28">
        <f>3150000</f>
        <v>3150000</v>
      </c>
      <c r="K298" s="28"/>
    </row>
    <row r="299" spans="1:11" s="8" customFormat="1" ht="20.399999999999999">
      <c r="A299" s="30" t="s">
        <v>134</v>
      </c>
      <c r="B299" s="31" t="s">
        <v>135</v>
      </c>
      <c r="C299" s="33">
        <f t="shared" ref="C299:K299" si="495">SUM(C300)</f>
        <v>0</v>
      </c>
      <c r="D299" s="33">
        <f t="shared" si="495"/>
        <v>300000</v>
      </c>
      <c r="E299" s="33">
        <f t="shared" si="495"/>
        <v>0</v>
      </c>
      <c r="F299" s="33">
        <f t="shared" si="495"/>
        <v>0</v>
      </c>
      <c r="G299" s="33">
        <f t="shared" si="495"/>
        <v>0</v>
      </c>
      <c r="H299" s="33">
        <f t="shared" si="495"/>
        <v>150000</v>
      </c>
      <c r="I299" s="33">
        <f t="shared" si="495"/>
        <v>-150000</v>
      </c>
      <c r="J299" s="33">
        <f t="shared" si="495"/>
        <v>0</v>
      </c>
      <c r="K299" s="33">
        <f t="shared" si="495"/>
        <v>0</v>
      </c>
    </row>
    <row r="300" spans="1:11" s="8" customFormat="1">
      <c r="A300" s="27" t="s">
        <v>137</v>
      </c>
      <c r="B300" s="27" t="s">
        <v>136</v>
      </c>
      <c r="C300" s="28"/>
      <c r="D300" s="28">
        <v>300000</v>
      </c>
      <c r="E300" s="28"/>
      <c r="F300" s="28"/>
      <c r="G300" s="28"/>
      <c r="H300" s="28">
        <v>150000</v>
      </c>
      <c r="I300" s="28">
        <f>H300-D300</f>
        <v>-150000</v>
      </c>
      <c r="J300" s="28"/>
      <c r="K300" s="28"/>
    </row>
    <row r="301" spans="1:11" s="19" customFormat="1" ht="16.5" customHeight="1">
      <c r="A301" s="16" t="s">
        <v>224</v>
      </c>
      <c r="B301" s="17" t="s">
        <v>225</v>
      </c>
      <c r="C301" s="18">
        <f>SUM(C302)</f>
        <v>4171000</v>
      </c>
      <c r="D301" s="18">
        <f t="shared" ref="D301:K301" si="496">SUM(D302)</f>
        <v>1473000</v>
      </c>
      <c r="E301" s="18">
        <f t="shared" si="496"/>
        <v>131248.44</v>
      </c>
      <c r="F301" s="18">
        <f t="shared" si="496"/>
        <v>2117000</v>
      </c>
      <c r="G301" s="18">
        <f t="shared" si="496"/>
        <v>2117000</v>
      </c>
      <c r="H301" s="18">
        <f t="shared" si="496"/>
        <v>4181000</v>
      </c>
      <c r="I301" s="18">
        <f t="shared" si="496"/>
        <v>2713000</v>
      </c>
      <c r="J301" s="18">
        <f t="shared" si="496"/>
        <v>2141000</v>
      </c>
      <c r="K301" s="18">
        <f t="shared" si="496"/>
        <v>1891000</v>
      </c>
    </row>
    <row r="302" spans="1:11" s="8" customFormat="1">
      <c r="A302" s="36" t="s">
        <v>196</v>
      </c>
      <c r="B302" s="37" t="s">
        <v>197</v>
      </c>
      <c r="C302" s="38">
        <f t="shared" ref="C302" si="497">SUM(C323,C315,C313,C303)</f>
        <v>4171000</v>
      </c>
      <c r="D302" s="38">
        <f t="shared" ref="D302" si="498">SUM(D323,D315,D313,D303)</f>
        <v>1473000</v>
      </c>
      <c r="E302" s="38">
        <f t="shared" ref="E302" si="499">SUM(E323,E315,E313,E303)</f>
        <v>131248.44</v>
      </c>
      <c r="F302" s="38">
        <f t="shared" ref="F302" si="500">SUM(F323,F315,F313,F303)</f>
        <v>2117000</v>
      </c>
      <c r="G302" s="38">
        <f t="shared" ref="G302" si="501">SUM(G323,G315,G313,G303)</f>
        <v>2117000</v>
      </c>
      <c r="H302" s="38">
        <f t="shared" ref="H302" si="502">SUM(H323,H315,H313,H303)</f>
        <v>4181000</v>
      </c>
      <c r="I302" s="38">
        <f t="shared" ref="I302" si="503">SUM(I323,I315,I313,I303)</f>
        <v>2713000</v>
      </c>
      <c r="J302" s="38">
        <f t="shared" ref="J302" si="504">SUM(J323,J315,J313,J303)</f>
        <v>2141000</v>
      </c>
      <c r="K302" s="38">
        <f t="shared" ref="K302" si="505">SUM(K323,K315,K313,K303)</f>
        <v>1891000</v>
      </c>
    </row>
    <row r="303" spans="1:11" s="8" customFormat="1">
      <c r="A303" s="30" t="s">
        <v>39</v>
      </c>
      <c r="B303" s="31" t="s">
        <v>40</v>
      </c>
      <c r="C303" s="33">
        <f>SUM(C304:C312)</f>
        <v>229000</v>
      </c>
      <c r="D303" s="33">
        <f t="shared" ref="D303:K303" si="506">SUM(D304:D312)</f>
        <v>231000</v>
      </c>
      <c r="E303" s="33">
        <f t="shared" si="506"/>
        <v>2314.19</v>
      </c>
      <c r="F303" s="33">
        <f t="shared" si="506"/>
        <v>186000</v>
      </c>
      <c r="G303" s="33">
        <f t="shared" si="506"/>
        <v>186000</v>
      </c>
      <c r="H303" s="33">
        <f t="shared" si="506"/>
        <v>481000</v>
      </c>
      <c r="I303" s="33">
        <f t="shared" si="506"/>
        <v>255000</v>
      </c>
      <c r="J303" s="33">
        <f t="shared" si="506"/>
        <v>443000</v>
      </c>
      <c r="K303" s="33">
        <f t="shared" si="506"/>
        <v>393000</v>
      </c>
    </row>
    <row r="304" spans="1:11" s="8" customFormat="1">
      <c r="A304" s="27" t="s">
        <v>41</v>
      </c>
      <c r="B304" s="27" t="s">
        <v>42</v>
      </c>
      <c r="C304" s="28">
        <v>15000</v>
      </c>
      <c r="D304" s="28">
        <v>35000</v>
      </c>
      <c r="E304" s="28"/>
      <c r="F304" s="28">
        <v>15000</v>
      </c>
      <c r="G304" s="28">
        <v>15000</v>
      </c>
      <c r="H304" s="28">
        <v>23000</v>
      </c>
      <c r="I304" s="28">
        <f t="shared" ref="I304:I311" si="507">H304-D304</f>
        <v>-12000</v>
      </c>
      <c r="J304" s="28">
        <v>20000</v>
      </c>
      <c r="K304" s="28">
        <v>23000</v>
      </c>
    </row>
    <row r="305" spans="1:11" s="8" customFormat="1">
      <c r="A305" s="27" t="s">
        <v>45</v>
      </c>
      <c r="B305" s="27" t="s">
        <v>46</v>
      </c>
      <c r="C305" s="28">
        <v>80000</v>
      </c>
      <c r="D305" s="28">
        <v>80000</v>
      </c>
      <c r="E305" s="28"/>
      <c r="F305" s="28">
        <v>80000</v>
      </c>
      <c r="G305" s="28">
        <v>80000</v>
      </c>
      <c r="H305" s="28">
        <v>123000</v>
      </c>
      <c r="I305" s="28">
        <f t="shared" si="507"/>
        <v>43000</v>
      </c>
      <c r="J305" s="28">
        <v>123000</v>
      </c>
      <c r="K305" s="28">
        <v>70000</v>
      </c>
    </row>
    <row r="306" spans="1:11" s="8" customFormat="1">
      <c r="A306" s="27" t="s">
        <v>53</v>
      </c>
      <c r="B306" s="27" t="s">
        <v>54</v>
      </c>
      <c r="C306" s="28">
        <v>110000</v>
      </c>
      <c r="D306" s="28">
        <v>70000</v>
      </c>
      <c r="E306" s="29">
        <v>2055.8200000000002</v>
      </c>
      <c r="F306" s="28">
        <v>70000</v>
      </c>
      <c r="G306" s="28">
        <v>70000</v>
      </c>
      <c r="H306" s="28">
        <v>60000</v>
      </c>
      <c r="I306" s="28">
        <f t="shared" si="507"/>
        <v>-10000</v>
      </c>
      <c r="J306" s="28">
        <v>25000</v>
      </c>
      <c r="K306" s="28">
        <v>25000</v>
      </c>
    </row>
    <row r="307" spans="1:11" s="8" customFormat="1">
      <c r="A307" s="27" t="s">
        <v>57</v>
      </c>
      <c r="B307" s="27" t="s">
        <v>58</v>
      </c>
      <c r="C307" s="28"/>
      <c r="D307" s="28">
        <v>2000</v>
      </c>
      <c r="E307" s="29">
        <v>258.37</v>
      </c>
      <c r="F307" s="28"/>
      <c r="G307" s="28"/>
      <c r="H307" s="28"/>
      <c r="I307" s="28">
        <f t="shared" si="507"/>
        <v>-2000</v>
      </c>
      <c r="J307" s="28"/>
      <c r="K307" s="28"/>
    </row>
    <row r="308" spans="1:11" s="8" customFormat="1">
      <c r="A308" s="27" t="s">
        <v>61</v>
      </c>
      <c r="B308" s="27" t="s">
        <v>62</v>
      </c>
      <c r="C308" s="28">
        <v>2000</v>
      </c>
      <c r="D308" s="28">
        <v>2000</v>
      </c>
      <c r="E308" s="28"/>
      <c r="F308" s="28">
        <v>2000</v>
      </c>
      <c r="G308" s="28">
        <v>2000</v>
      </c>
      <c r="H308" s="28"/>
      <c r="I308" s="28">
        <f t="shared" si="507"/>
        <v>-2000</v>
      </c>
      <c r="J308" s="28"/>
      <c r="K308" s="28"/>
    </row>
    <row r="309" spans="1:11" s="8" customFormat="1">
      <c r="A309" s="27" t="s">
        <v>65</v>
      </c>
      <c r="B309" s="27" t="s">
        <v>66</v>
      </c>
      <c r="C309" s="28">
        <v>4000</v>
      </c>
      <c r="D309" s="28">
        <v>4000</v>
      </c>
      <c r="E309" s="28"/>
      <c r="F309" s="28">
        <v>4000</v>
      </c>
      <c r="G309" s="28">
        <v>4000</v>
      </c>
      <c r="H309" s="28"/>
      <c r="I309" s="28">
        <f t="shared" si="507"/>
        <v>-4000</v>
      </c>
      <c r="J309" s="28"/>
      <c r="K309" s="28"/>
    </row>
    <row r="310" spans="1:11" s="8" customFormat="1">
      <c r="A310" s="27" t="s">
        <v>69</v>
      </c>
      <c r="B310" s="27" t="s">
        <v>70</v>
      </c>
      <c r="C310" s="28"/>
      <c r="D310" s="28">
        <v>15000</v>
      </c>
      <c r="E310" s="28"/>
      <c r="F310" s="28"/>
      <c r="G310" s="28"/>
      <c r="H310" s="28">
        <v>250000</v>
      </c>
      <c r="I310" s="28">
        <f t="shared" si="507"/>
        <v>235000</v>
      </c>
      <c r="J310" s="28">
        <v>250000</v>
      </c>
      <c r="K310" s="28">
        <v>250000</v>
      </c>
    </row>
    <row r="311" spans="1:11" s="8" customFormat="1">
      <c r="A311" s="27" t="s">
        <v>73</v>
      </c>
      <c r="B311" s="27" t="s">
        <v>74</v>
      </c>
      <c r="C311" s="28">
        <v>18000</v>
      </c>
      <c r="D311" s="28">
        <v>18000</v>
      </c>
      <c r="E311" s="28"/>
      <c r="F311" s="28">
        <v>15000</v>
      </c>
      <c r="G311" s="28">
        <v>15000</v>
      </c>
      <c r="H311" s="28">
        <v>25000</v>
      </c>
      <c r="I311" s="28">
        <f t="shared" si="507"/>
        <v>7000</v>
      </c>
      <c r="J311" s="28">
        <v>25000</v>
      </c>
      <c r="K311" s="28">
        <v>25000</v>
      </c>
    </row>
    <row r="312" spans="1:11" s="8" customFormat="1">
      <c r="A312" s="27" t="s">
        <v>78</v>
      </c>
      <c r="B312" s="27" t="s">
        <v>77</v>
      </c>
      <c r="C312" s="28"/>
      <c r="D312" s="28">
        <v>5000</v>
      </c>
      <c r="E312" s="28"/>
      <c r="F312" s="28"/>
      <c r="G312" s="28"/>
      <c r="H312" s="28"/>
      <c r="I312" s="28"/>
      <c r="J312" s="28"/>
      <c r="K312" s="28"/>
    </row>
    <row r="313" spans="1:11" s="8" customFormat="1" ht="20.399999999999999">
      <c r="A313" s="30" t="s">
        <v>112</v>
      </c>
      <c r="B313" s="31" t="s">
        <v>113</v>
      </c>
      <c r="C313" s="33">
        <f t="shared" ref="C313" si="508">SUM(C314)</f>
        <v>350000</v>
      </c>
      <c r="D313" s="33">
        <f t="shared" ref="D313" si="509">SUM(D314)</f>
        <v>150000</v>
      </c>
      <c r="E313" s="33">
        <f t="shared" ref="E313" si="510">SUM(E314)</f>
        <v>71354.25</v>
      </c>
      <c r="F313" s="33">
        <f t="shared" ref="F313" si="511">SUM(F314)</f>
        <v>270000</v>
      </c>
      <c r="G313" s="33">
        <f t="shared" ref="G313" si="512">SUM(G314)</f>
        <v>270000</v>
      </c>
      <c r="H313" s="33">
        <f t="shared" ref="H313" si="513">SUM(H314)</f>
        <v>875000</v>
      </c>
      <c r="I313" s="33">
        <f t="shared" ref="I313" si="514">SUM(I314)</f>
        <v>725000</v>
      </c>
      <c r="J313" s="33">
        <f t="shared" ref="J313" si="515">SUM(J314)</f>
        <v>1000000</v>
      </c>
      <c r="K313" s="33">
        <f t="shared" ref="K313" si="516">SUM(K314)</f>
        <v>800000</v>
      </c>
    </row>
    <row r="314" spans="1:11" s="8" customFormat="1">
      <c r="A314" s="27" t="s">
        <v>114</v>
      </c>
      <c r="B314" s="27" t="s">
        <v>115</v>
      </c>
      <c r="C314" s="28">
        <v>350000</v>
      </c>
      <c r="D314" s="28">
        <v>150000</v>
      </c>
      <c r="E314" s="29">
        <v>71354.25</v>
      </c>
      <c r="F314" s="28">
        <v>270000</v>
      </c>
      <c r="G314" s="28">
        <v>270000</v>
      </c>
      <c r="H314" s="28">
        <v>875000</v>
      </c>
      <c r="I314" s="28">
        <f>H314-D314</f>
        <v>725000</v>
      </c>
      <c r="J314" s="180">
        <f>1200000-200000</f>
        <v>1000000</v>
      </c>
      <c r="K314" s="28">
        <v>800000</v>
      </c>
    </row>
    <row r="315" spans="1:11" s="8" customFormat="1" ht="20.399999999999999">
      <c r="A315" s="30" t="s">
        <v>116</v>
      </c>
      <c r="B315" s="31" t="s">
        <v>117</v>
      </c>
      <c r="C315" s="33">
        <f t="shared" ref="C315" si="517">SUM(C316:C322)</f>
        <v>2942000</v>
      </c>
      <c r="D315" s="33">
        <f t="shared" ref="D315" si="518">SUM(D316:D322)</f>
        <v>1092000</v>
      </c>
      <c r="E315" s="33">
        <f t="shared" ref="E315" si="519">SUM(E316:E322)</f>
        <v>57580</v>
      </c>
      <c r="F315" s="33">
        <f t="shared" ref="F315" si="520">SUM(F316:F322)</f>
        <v>1011000</v>
      </c>
      <c r="G315" s="33">
        <f t="shared" ref="G315" si="521">SUM(G316:G322)</f>
        <v>1011000</v>
      </c>
      <c r="H315" s="33">
        <f t="shared" ref="H315" si="522">SUM(H316:H322)</f>
        <v>2550000</v>
      </c>
      <c r="I315" s="33">
        <f t="shared" ref="I315" si="523">SUM(I316:I322)</f>
        <v>1458000</v>
      </c>
      <c r="J315" s="33">
        <f t="shared" ref="J315" si="524">SUM(J316:J322)</f>
        <v>423000</v>
      </c>
      <c r="K315" s="33">
        <f t="shared" ref="K315" si="525">SUM(K316:K322)</f>
        <v>423000</v>
      </c>
    </row>
    <row r="316" spans="1:11" s="8" customFormat="1">
      <c r="A316" s="27" t="s">
        <v>118</v>
      </c>
      <c r="B316" s="27" t="s">
        <v>119</v>
      </c>
      <c r="C316" s="28">
        <v>100000</v>
      </c>
      <c r="D316" s="28">
        <v>50000</v>
      </c>
      <c r="E316" s="28"/>
      <c r="F316" s="28">
        <v>50000</v>
      </c>
      <c r="G316" s="28">
        <v>50000</v>
      </c>
      <c r="H316" s="28">
        <v>75000</v>
      </c>
      <c r="I316" s="28">
        <f t="shared" ref="I316:I322" si="526">H316-D316</f>
        <v>25000</v>
      </c>
      <c r="J316" s="28">
        <v>38000</v>
      </c>
      <c r="K316" s="28">
        <v>38000</v>
      </c>
    </row>
    <row r="317" spans="1:11" s="8" customFormat="1">
      <c r="A317" s="27" t="s">
        <v>120</v>
      </c>
      <c r="B317" s="27" t="s">
        <v>121</v>
      </c>
      <c r="C317" s="28">
        <v>64000</v>
      </c>
      <c r="D317" s="28">
        <v>64000</v>
      </c>
      <c r="E317" s="28"/>
      <c r="F317" s="28">
        <v>64000</v>
      </c>
      <c r="G317" s="28">
        <v>64000</v>
      </c>
      <c r="H317" s="28">
        <v>10000</v>
      </c>
      <c r="I317" s="28">
        <f t="shared" si="526"/>
        <v>-54000</v>
      </c>
      <c r="J317" s="28">
        <v>10000</v>
      </c>
      <c r="K317" s="28">
        <v>10000</v>
      </c>
    </row>
    <row r="318" spans="1:11" s="8" customFormat="1">
      <c r="A318" s="27" t="s">
        <v>122</v>
      </c>
      <c r="B318" s="27" t="s">
        <v>123</v>
      </c>
      <c r="C318" s="28">
        <v>1000000</v>
      </c>
      <c r="D318" s="28">
        <v>300000</v>
      </c>
      <c r="E318" s="29">
        <v>57580</v>
      </c>
      <c r="F318" s="28">
        <v>250000</v>
      </c>
      <c r="G318" s="28">
        <v>250000</v>
      </c>
      <c r="H318" s="28">
        <v>465000</v>
      </c>
      <c r="I318" s="28">
        <f t="shared" si="526"/>
        <v>165000</v>
      </c>
      <c r="J318" s="28">
        <v>150000</v>
      </c>
      <c r="K318" s="28">
        <v>150000</v>
      </c>
    </row>
    <row r="319" spans="1:11" s="8" customFormat="1">
      <c r="A319" s="27" t="s">
        <v>226</v>
      </c>
      <c r="B319" s="27" t="s">
        <v>227</v>
      </c>
      <c r="C319" s="28">
        <v>750000</v>
      </c>
      <c r="D319" s="28">
        <v>200000</v>
      </c>
      <c r="E319" s="28"/>
      <c r="F319" s="28">
        <v>250000</v>
      </c>
      <c r="G319" s="28">
        <v>250000</v>
      </c>
      <c r="H319" s="28">
        <v>750000</v>
      </c>
      <c r="I319" s="28">
        <f t="shared" si="526"/>
        <v>550000</v>
      </c>
      <c r="J319" s="28"/>
      <c r="K319" s="28"/>
    </row>
    <row r="320" spans="1:11" s="8" customFormat="1">
      <c r="A320" s="27" t="s">
        <v>124</v>
      </c>
      <c r="B320" s="27" t="s">
        <v>125</v>
      </c>
      <c r="C320" s="28">
        <v>13000</v>
      </c>
      <c r="D320" s="28">
        <v>13000</v>
      </c>
      <c r="E320" s="28"/>
      <c r="F320" s="28">
        <v>13000</v>
      </c>
      <c r="G320" s="28">
        <v>13000</v>
      </c>
      <c r="H320" s="28"/>
      <c r="I320" s="28">
        <f t="shared" si="526"/>
        <v>-13000</v>
      </c>
      <c r="J320" s="28"/>
      <c r="K320" s="28"/>
    </row>
    <row r="321" spans="1:11" s="8" customFormat="1">
      <c r="A321" s="27" t="s">
        <v>160</v>
      </c>
      <c r="B321" s="27" t="s">
        <v>161</v>
      </c>
      <c r="C321" s="28">
        <v>540000</v>
      </c>
      <c r="D321" s="28">
        <v>390000</v>
      </c>
      <c r="E321" s="28"/>
      <c r="F321" s="28">
        <v>64000</v>
      </c>
      <c r="G321" s="28">
        <v>64000</v>
      </c>
      <c r="H321" s="28">
        <v>750000</v>
      </c>
      <c r="I321" s="28">
        <f t="shared" si="526"/>
        <v>360000</v>
      </c>
      <c r="J321" s="28">
        <v>100000</v>
      </c>
      <c r="K321" s="28">
        <v>100000</v>
      </c>
    </row>
    <row r="322" spans="1:11" s="8" customFormat="1">
      <c r="A322" s="27" t="s">
        <v>188</v>
      </c>
      <c r="B322" s="27" t="s">
        <v>189</v>
      </c>
      <c r="C322" s="28">
        <v>475000</v>
      </c>
      <c r="D322" s="28">
        <v>75000</v>
      </c>
      <c r="E322" s="28"/>
      <c r="F322" s="28">
        <v>320000</v>
      </c>
      <c r="G322" s="28">
        <v>320000</v>
      </c>
      <c r="H322" s="28">
        <v>500000</v>
      </c>
      <c r="I322" s="28">
        <f t="shared" si="526"/>
        <v>425000</v>
      </c>
      <c r="J322" s="28">
        <v>125000</v>
      </c>
      <c r="K322" s="28">
        <v>125000</v>
      </c>
    </row>
    <row r="323" spans="1:11" s="8" customFormat="1" ht="20.399999999999999">
      <c r="A323" s="30" t="s">
        <v>134</v>
      </c>
      <c r="B323" s="31" t="s">
        <v>135</v>
      </c>
      <c r="C323" s="33">
        <f t="shared" ref="C323" si="527">SUM(C324)</f>
        <v>650000</v>
      </c>
      <c r="D323" s="33">
        <f t="shared" ref="D323" si="528">SUM(D324)</f>
        <v>0</v>
      </c>
      <c r="E323" s="33">
        <f t="shared" ref="E323" si="529">SUM(E324)</f>
        <v>0</v>
      </c>
      <c r="F323" s="33">
        <f t="shared" ref="F323" si="530">SUM(F324)</f>
        <v>650000</v>
      </c>
      <c r="G323" s="33">
        <f t="shared" ref="G323" si="531">SUM(G324)</f>
        <v>650000</v>
      </c>
      <c r="H323" s="33">
        <f t="shared" ref="H323" si="532">SUM(H324)</f>
        <v>275000</v>
      </c>
      <c r="I323" s="33">
        <f t="shared" ref="I323" si="533">SUM(I324)</f>
        <v>275000</v>
      </c>
      <c r="J323" s="33">
        <f t="shared" ref="J323" si="534">SUM(J324)</f>
        <v>275000</v>
      </c>
      <c r="K323" s="33">
        <f t="shared" ref="K323" si="535">SUM(K324)</f>
        <v>275000</v>
      </c>
    </row>
    <row r="324" spans="1:11" s="8" customFormat="1">
      <c r="A324" s="27" t="s">
        <v>137</v>
      </c>
      <c r="B324" s="27" t="s">
        <v>136</v>
      </c>
      <c r="C324" s="28">
        <v>650000</v>
      </c>
      <c r="D324" s="28"/>
      <c r="E324" s="28"/>
      <c r="F324" s="28">
        <v>650000</v>
      </c>
      <c r="G324" s="28">
        <v>650000</v>
      </c>
      <c r="H324" s="28">
        <v>275000</v>
      </c>
      <c r="I324" s="28">
        <f>H324-D324</f>
        <v>275000</v>
      </c>
      <c r="J324" s="28">
        <v>275000</v>
      </c>
      <c r="K324" s="28">
        <v>275000</v>
      </c>
    </row>
    <row r="325" spans="1:11" s="19" customFormat="1" ht="16.5" customHeight="1">
      <c r="A325" s="16" t="s">
        <v>228</v>
      </c>
      <c r="B325" s="17" t="s">
        <v>229</v>
      </c>
      <c r="C325" s="18">
        <f>SUM(C326)</f>
        <v>3995000</v>
      </c>
      <c r="D325" s="18">
        <f t="shared" ref="D325:K325" si="536">SUM(D326)</f>
        <v>1817000</v>
      </c>
      <c r="E325" s="18">
        <f t="shared" si="536"/>
        <v>100712.32000000001</v>
      </c>
      <c r="F325" s="18">
        <f t="shared" si="536"/>
        <v>2820000</v>
      </c>
      <c r="G325" s="18">
        <f t="shared" si="536"/>
        <v>1367000</v>
      </c>
      <c r="H325" s="18">
        <f t="shared" si="536"/>
        <v>11538000</v>
      </c>
      <c r="I325" s="18">
        <f t="shared" si="536"/>
        <v>10253000</v>
      </c>
      <c r="J325" s="18">
        <f t="shared" si="536"/>
        <v>5028000</v>
      </c>
      <c r="K325" s="18">
        <f t="shared" si="536"/>
        <v>2830000</v>
      </c>
    </row>
    <row r="326" spans="1:11" s="8" customFormat="1">
      <c r="A326" s="36" t="s">
        <v>196</v>
      </c>
      <c r="B326" s="37" t="s">
        <v>197</v>
      </c>
      <c r="C326" s="38">
        <f>SUM(C349,C342,C340,C327,C338)</f>
        <v>3995000</v>
      </c>
      <c r="D326" s="38">
        <f>SUM(D349,D342,D340,D327,D338)</f>
        <v>1817000</v>
      </c>
      <c r="E326" s="38">
        <f t="shared" ref="E326:K326" si="537">SUM(E349,E342,E340,E327,E338)</f>
        <v>100712.32000000001</v>
      </c>
      <c r="F326" s="38">
        <f t="shared" si="537"/>
        <v>2820000</v>
      </c>
      <c r="G326" s="38">
        <f t="shared" si="537"/>
        <v>1367000</v>
      </c>
      <c r="H326" s="38">
        <f t="shared" si="537"/>
        <v>11538000</v>
      </c>
      <c r="I326" s="38">
        <f t="shared" si="537"/>
        <v>10253000</v>
      </c>
      <c r="J326" s="38">
        <f t="shared" si="537"/>
        <v>5028000</v>
      </c>
      <c r="K326" s="38">
        <f t="shared" si="537"/>
        <v>2830000</v>
      </c>
    </row>
    <row r="327" spans="1:11" s="8" customFormat="1">
      <c r="A327" s="30" t="s">
        <v>39</v>
      </c>
      <c r="B327" s="31" t="s">
        <v>40</v>
      </c>
      <c r="C327" s="32">
        <f>SUM(C328:C337)</f>
        <v>2948000</v>
      </c>
      <c r="D327" s="32">
        <f t="shared" ref="D327:K327" si="538">SUM(D328:D337)</f>
        <v>440000</v>
      </c>
      <c r="E327" s="32">
        <f t="shared" si="538"/>
        <v>41612.32</v>
      </c>
      <c r="F327" s="32">
        <f t="shared" si="538"/>
        <v>2252000</v>
      </c>
      <c r="G327" s="32">
        <f t="shared" si="538"/>
        <v>900000</v>
      </c>
      <c r="H327" s="32">
        <f t="shared" si="538"/>
        <v>3424000</v>
      </c>
      <c r="I327" s="32">
        <f t="shared" si="538"/>
        <v>3016000</v>
      </c>
      <c r="J327" s="32">
        <f t="shared" si="538"/>
        <v>1766000</v>
      </c>
      <c r="K327" s="32">
        <f t="shared" si="538"/>
        <v>1264000</v>
      </c>
    </row>
    <row r="328" spans="1:11" s="8" customFormat="1">
      <c r="A328" s="27" t="s">
        <v>41</v>
      </c>
      <c r="B328" s="99" t="s">
        <v>42</v>
      </c>
      <c r="C328" s="100"/>
      <c r="D328" s="100">
        <v>25000</v>
      </c>
      <c r="E328" s="100"/>
      <c r="F328" s="100"/>
      <c r="G328" s="100"/>
      <c r="H328" s="100"/>
      <c r="I328" s="100"/>
      <c r="J328" s="100"/>
      <c r="K328" s="100"/>
    </row>
    <row r="329" spans="1:11" s="8" customFormat="1" ht="20.399999999999999">
      <c r="A329" s="27" t="s">
        <v>43</v>
      </c>
      <c r="B329" s="27" t="s">
        <v>44</v>
      </c>
      <c r="C329" s="28">
        <v>9000</v>
      </c>
      <c r="D329" s="28">
        <v>9000</v>
      </c>
      <c r="E329" s="28"/>
      <c r="F329" s="28">
        <v>9000</v>
      </c>
      <c r="G329" s="28">
        <v>9000</v>
      </c>
      <c r="H329" s="28">
        <v>7000</v>
      </c>
      <c r="I329" s="28">
        <f>H329-D329</f>
        <v>-2000</v>
      </c>
      <c r="J329" s="28">
        <v>7000</v>
      </c>
      <c r="K329" s="28"/>
    </row>
    <row r="330" spans="1:11" s="8" customFormat="1">
      <c r="A330" s="27" t="s">
        <v>45</v>
      </c>
      <c r="B330" s="27" t="s">
        <v>46</v>
      </c>
      <c r="C330" s="28"/>
      <c r="D330" s="28">
        <v>7000</v>
      </c>
      <c r="E330" s="28"/>
      <c r="F330" s="28"/>
      <c r="G330" s="28"/>
      <c r="H330" s="28"/>
      <c r="I330" s="28"/>
      <c r="J330" s="28"/>
      <c r="K330" s="28"/>
    </row>
    <row r="331" spans="1:11" s="8" customFormat="1">
      <c r="A331" s="27" t="s">
        <v>53</v>
      </c>
      <c r="B331" s="27" t="s">
        <v>54</v>
      </c>
      <c r="C331" s="28">
        <v>3000</v>
      </c>
      <c r="D331" s="28">
        <v>3000</v>
      </c>
      <c r="E331" s="28"/>
      <c r="F331" s="28">
        <v>3000</v>
      </c>
      <c r="G331" s="28">
        <v>3000</v>
      </c>
      <c r="H331" s="28"/>
      <c r="I331" s="28">
        <f t="shared" ref="I331:I337" si="539">H331-D331</f>
        <v>-3000</v>
      </c>
      <c r="J331" s="28"/>
      <c r="K331" s="28"/>
    </row>
    <row r="332" spans="1:11" s="8" customFormat="1">
      <c r="A332" s="27" t="s">
        <v>61</v>
      </c>
      <c r="B332" s="27" t="s">
        <v>62</v>
      </c>
      <c r="C332" s="28">
        <v>885000</v>
      </c>
      <c r="D332" s="28">
        <v>15000</v>
      </c>
      <c r="E332" s="28"/>
      <c r="F332" s="28">
        <v>810000</v>
      </c>
      <c r="G332" s="28">
        <v>58000</v>
      </c>
      <c r="H332" s="28">
        <v>89000</v>
      </c>
      <c r="I332" s="28">
        <f t="shared" si="539"/>
        <v>74000</v>
      </c>
      <c r="J332" s="28">
        <v>26000</v>
      </c>
      <c r="K332" s="28"/>
    </row>
    <row r="333" spans="1:11" s="8" customFormat="1">
      <c r="A333" s="27" t="s">
        <v>63</v>
      </c>
      <c r="B333" s="27" t="s">
        <v>64</v>
      </c>
      <c r="C333" s="28">
        <v>600000</v>
      </c>
      <c r="D333" s="28">
        <v>50000</v>
      </c>
      <c r="E333" s="28"/>
      <c r="F333" s="28">
        <v>650000</v>
      </c>
      <c r="G333" s="28">
        <v>700000</v>
      </c>
      <c r="H333" s="28">
        <v>724000</v>
      </c>
      <c r="I333" s="28">
        <f t="shared" si="539"/>
        <v>674000</v>
      </c>
      <c r="J333" s="28"/>
      <c r="K333" s="28"/>
    </row>
    <row r="334" spans="1:11" s="8" customFormat="1">
      <c r="A334" s="27" t="s">
        <v>71</v>
      </c>
      <c r="B334" s="27" t="s">
        <v>72</v>
      </c>
      <c r="C334" s="28">
        <v>1000</v>
      </c>
      <c r="D334" s="28">
        <v>1000</v>
      </c>
      <c r="E334" s="28"/>
      <c r="F334" s="28">
        <v>1000</v>
      </c>
      <c r="G334" s="28">
        <v>1000</v>
      </c>
      <c r="H334" s="28">
        <v>117000</v>
      </c>
      <c r="I334" s="28">
        <f t="shared" si="539"/>
        <v>116000</v>
      </c>
      <c r="J334" s="28">
        <v>117000</v>
      </c>
      <c r="K334" s="28">
        <v>88000</v>
      </c>
    </row>
    <row r="335" spans="1:11" s="8" customFormat="1">
      <c r="A335" s="27" t="s">
        <v>73</v>
      </c>
      <c r="B335" s="27" t="s">
        <v>74</v>
      </c>
      <c r="C335" s="28">
        <v>96000</v>
      </c>
      <c r="D335" s="28">
        <v>146000</v>
      </c>
      <c r="E335" s="29">
        <v>14137.32</v>
      </c>
      <c r="F335" s="28">
        <v>92000</v>
      </c>
      <c r="G335" s="28">
        <v>108000</v>
      </c>
      <c r="H335" s="28">
        <v>216000</v>
      </c>
      <c r="I335" s="28">
        <f t="shared" si="539"/>
        <v>70000</v>
      </c>
      <c r="J335" s="28">
        <v>216000</v>
      </c>
      <c r="K335" s="28">
        <v>86000</v>
      </c>
    </row>
    <row r="336" spans="1:11" s="8" customFormat="1">
      <c r="A336" s="27" t="s">
        <v>132</v>
      </c>
      <c r="B336" s="27" t="s">
        <v>133</v>
      </c>
      <c r="C336" s="28">
        <v>20000</v>
      </c>
      <c r="D336" s="28">
        <v>50000</v>
      </c>
      <c r="E336" s="29">
        <v>27475</v>
      </c>
      <c r="F336" s="28">
        <v>20000</v>
      </c>
      <c r="G336" s="28">
        <v>20000</v>
      </c>
      <c r="H336" s="28">
        <v>346000</v>
      </c>
      <c r="I336" s="28">
        <f t="shared" si="539"/>
        <v>296000</v>
      </c>
      <c r="J336" s="28">
        <v>10000</v>
      </c>
      <c r="K336" s="28"/>
    </row>
    <row r="337" spans="1:11" s="8" customFormat="1">
      <c r="A337" s="27" t="s">
        <v>75</v>
      </c>
      <c r="B337" s="27" t="s">
        <v>76</v>
      </c>
      <c r="C337" s="28">
        <v>1334000</v>
      </c>
      <c r="D337" s="28">
        <v>134000</v>
      </c>
      <c r="E337" s="28"/>
      <c r="F337" s="28">
        <v>667000</v>
      </c>
      <c r="G337" s="28">
        <v>1000</v>
      </c>
      <c r="H337" s="28">
        <v>1925000</v>
      </c>
      <c r="I337" s="28">
        <f t="shared" si="539"/>
        <v>1791000</v>
      </c>
      <c r="J337" s="28">
        <v>1390000</v>
      </c>
      <c r="K337" s="28">
        <v>1090000</v>
      </c>
    </row>
    <row r="338" spans="1:11" s="8" customFormat="1" ht="20.399999999999999">
      <c r="A338" s="30" t="s">
        <v>101</v>
      </c>
      <c r="B338" s="31" t="s">
        <v>102</v>
      </c>
      <c r="C338" s="33">
        <f t="shared" ref="C338:K340" si="540">SUM(C339)</f>
        <v>0</v>
      </c>
      <c r="D338" s="33">
        <f t="shared" si="540"/>
        <v>500000</v>
      </c>
      <c r="E338" s="33">
        <f t="shared" si="540"/>
        <v>0</v>
      </c>
      <c r="F338" s="33">
        <f t="shared" si="540"/>
        <v>0</v>
      </c>
      <c r="G338" s="33">
        <f t="shared" si="540"/>
        <v>0</v>
      </c>
      <c r="H338" s="33">
        <f t="shared" si="540"/>
        <v>0</v>
      </c>
      <c r="I338" s="33">
        <f t="shared" si="540"/>
        <v>0</v>
      </c>
      <c r="J338" s="33">
        <f t="shared" si="540"/>
        <v>0</v>
      </c>
      <c r="K338" s="33">
        <f t="shared" si="540"/>
        <v>0</v>
      </c>
    </row>
    <row r="339" spans="1:11" s="8" customFormat="1">
      <c r="A339" s="27" t="s">
        <v>302</v>
      </c>
      <c r="B339" s="27" t="s">
        <v>303</v>
      </c>
      <c r="C339" s="28"/>
      <c r="D339" s="28">
        <v>500000</v>
      </c>
      <c r="E339" s="28"/>
      <c r="F339" s="28"/>
      <c r="G339" s="28"/>
      <c r="H339" s="28"/>
      <c r="I339" s="28"/>
      <c r="J339" s="28"/>
      <c r="K339" s="28"/>
    </row>
    <row r="340" spans="1:11" s="8" customFormat="1" ht="20.399999999999999">
      <c r="A340" s="30" t="s">
        <v>19</v>
      </c>
      <c r="B340" s="31" t="s">
        <v>20</v>
      </c>
      <c r="C340" s="33">
        <f t="shared" si="540"/>
        <v>270000</v>
      </c>
      <c r="D340" s="33">
        <f t="shared" ref="D340" si="541">SUM(D341)</f>
        <v>280000</v>
      </c>
      <c r="E340" s="33">
        <f t="shared" ref="E340" si="542">SUM(E341)</f>
        <v>0</v>
      </c>
      <c r="F340" s="33">
        <f t="shared" ref="F340" si="543">SUM(F341)</f>
        <v>133000</v>
      </c>
      <c r="G340" s="33">
        <f t="shared" ref="G340" si="544">SUM(G341)</f>
        <v>32000</v>
      </c>
      <c r="H340" s="33">
        <f t="shared" ref="H340" si="545">SUM(H341)</f>
        <v>117000</v>
      </c>
      <c r="I340" s="33">
        <f t="shared" ref="I340" si="546">SUM(I341)</f>
        <v>-163000</v>
      </c>
      <c r="J340" s="33">
        <f t="shared" ref="J340" si="547">SUM(J341)</f>
        <v>48000</v>
      </c>
      <c r="K340" s="33">
        <f t="shared" ref="K340" si="548">SUM(K341)</f>
        <v>16000</v>
      </c>
    </row>
    <row r="341" spans="1:11" s="8" customFormat="1">
      <c r="A341" s="27" t="s">
        <v>21</v>
      </c>
      <c r="B341" s="27" t="s">
        <v>22</v>
      </c>
      <c r="C341" s="28">
        <v>270000</v>
      </c>
      <c r="D341" s="28">
        <v>280000</v>
      </c>
      <c r="E341" s="28"/>
      <c r="F341" s="28">
        <v>133000</v>
      </c>
      <c r="G341" s="28">
        <v>32000</v>
      </c>
      <c r="H341" s="28">
        <v>117000</v>
      </c>
      <c r="I341" s="28">
        <f>H341-D341</f>
        <v>-163000</v>
      </c>
      <c r="J341" s="28">
        <v>48000</v>
      </c>
      <c r="K341" s="28">
        <v>16000</v>
      </c>
    </row>
    <row r="342" spans="1:11" s="8" customFormat="1" ht="20.399999999999999">
      <c r="A342" s="30" t="s">
        <v>116</v>
      </c>
      <c r="B342" s="31" t="s">
        <v>117</v>
      </c>
      <c r="C342" s="33">
        <f>SUM(C343:C348)</f>
        <v>777000</v>
      </c>
      <c r="D342" s="33">
        <f t="shared" ref="D342:K342" si="549">SUM(D343:D348)</f>
        <v>567000</v>
      </c>
      <c r="E342" s="33">
        <f t="shared" si="549"/>
        <v>59100</v>
      </c>
      <c r="F342" s="33">
        <f t="shared" si="549"/>
        <v>435000</v>
      </c>
      <c r="G342" s="33">
        <f t="shared" si="549"/>
        <v>435000</v>
      </c>
      <c r="H342" s="33">
        <f t="shared" si="549"/>
        <v>6477000</v>
      </c>
      <c r="I342" s="33">
        <f t="shared" si="549"/>
        <v>5910000</v>
      </c>
      <c r="J342" s="33">
        <f t="shared" si="549"/>
        <v>1895000</v>
      </c>
      <c r="K342" s="33">
        <f t="shared" si="549"/>
        <v>1550000</v>
      </c>
    </row>
    <row r="343" spans="1:11" s="8" customFormat="1">
      <c r="A343" s="27" t="s">
        <v>118</v>
      </c>
      <c r="B343" s="27" t="s">
        <v>119</v>
      </c>
      <c r="C343" s="28">
        <v>9000</v>
      </c>
      <c r="D343" s="28">
        <v>119000</v>
      </c>
      <c r="E343" s="28"/>
      <c r="F343" s="41">
        <v>0</v>
      </c>
      <c r="G343" s="28"/>
      <c r="H343" s="28">
        <v>1510000</v>
      </c>
      <c r="I343" s="28">
        <f t="shared" ref="I343:I348" si="550">H343-D343</f>
        <v>1391000</v>
      </c>
      <c r="J343" s="28">
        <v>3000</v>
      </c>
      <c r="K343" s="28"/>
    </row>
    <row r="344" spans="1:11" s="8" customFormat="1">
      <c r="A344" s="27" t="s">
        <v>120</v>
      </c>
      <c r="B344" s="27" t="s">
        <v>121</v>
      </c>
      <c r="C344" s="28"/>
      <c r="D344" s="28"/>
      <c r="E344" s="28"/>
      <c r="F344" s="41"/>
      <c r="G344" s="28"/>
      <c r="H344" s="28">
        <v>27000</v>
      </c>
      <c r="I344" s="28">
        <f t="shared" si="550"/>
        <v>27000</v>
      </c>
      <c r="J344" s="28">
        <v>11000</v>
      </c>
      <c r="K344" s="28"/>
    </row>
    <row r="345" spans="1:11" s="8" customFormat="1">
      <c r="A345" s="27" t="s">
        <v>226</v>
      </c>
      <c r="B345" s="27" t="s">
        <v>227</v>
      </c>
      <c r="C345" s="28"/>
      <c r="D345" s="28"/>
      <c r="E345" s="28"/>
      <c r="F345" s="41"/>
      <c r="G345" s="28"/>
      <c r="H345" s="28">
        <v>31000</v>
      </c>
      <c r="I345" s="28">
        <f t="shared" si="550"/>
        <v>31000</v>
      </c>
      <c r="J345" s="28">
        <v>1000</v>
      </c>
      <c r="K345" s="28"/>
    </row>
    <row r="346" spans="1:11" s="8" customFormat="1">
      <c r="A346" s="27" t="s">
        <v>186</v>
      </c>
      <c r="B346" s="27" t="s">
        <v>187</v>
      </c>
      <c r="C346" s="28">
        <v>23000</v>
      </c>
      <c r="D346" s="28">
        <v>23000</v>
      </c>
      <c r="E346" s="28"/>
      <c r="F346" s="28">
        <v>23000</v>
      </c>
      <c r="G346" s="28">
        <v>23000</v>
      </c>
      <c r="H346" s="28">
        <v>1375000</v>
      </c>
      <c r="I346" s="28">
        <f t="shared" si="550"/>
        <v>1352000</v>
      </c>
      <c r="J346" s="28"/>
      <c r="K346" s="28"/>
    </row>
    <row r="347" spans="1:11" s="8" customFormat="1">
      <c r="A347" s="27" t="s">
        <v>160</v>
      </c>
      <c r="B347" s="27" t="s">
        <v>161</v>
      </c>
      <c r="C347" s="28">
        <v>263000</v>
      </c>
      <c r="D347" s="28">
        <v>263000</v>
      </c>
      <c r="E347" s="28"/>
      <c r="F347" s="28"/>
      <c r="G347" s="28"/>
      <c r="H347" s="28">
        <v>1024000</v>
      </c>
      <c r="I347" s="28">
        <f t="shared" si="550"/>
        <v>761000</v>
      </c>
      <c r="J347" s="28"/>
      <c r="K347" s="28"/>
    </row>
    <row r="348" spans="1:11" s="8" customFormat="1">
      <c r="A348" s="27" t="s">
        <v>188</v>
      </c>
      <c r="B348" s="27" t="s">
        <v>189</v>
      </c>
      <c r="C348" s="28">
        <v>482000</v>
      </c>
      <c r="D348" s="28">
        <v>162000</v>
      </c>
      <c r="E348" s="29">
        <v>59100</v>
      </c>
      <c r="F348" s="28">
        <v>412000</v>
      </c>
      <c r="G348" s="28">
        <v>412000</v>
      </c>
      <c r="H348" s="172">
        <v>2510000</v>
      </c>
      <c r="I348" s="172">
        <f t="shared" si="550"/>
        <v>2348000</v>
      </c>
      <c r="J348" s="180">
        <f>2380000-500000</f>
        <v>1880000</v>
      </c>
      <c r="K348" s="180">
        <f>2050000-500000</f>
        <v>1550000</v>
      </c>
    </row>
    <row r="349" spans="1:11" s="8" customFormat="1" ht="20.399999999999999">
      <c r="A349" s="30" t="s">
        <v>134</v>
      </c>
      <c r="B349" s="31" t="s">
        <v>135</v>
      </c>
      <c r="C349" s="33">
        <f t="shared" ref="C349:K349" si="551">SUM(C350)</f>
        <v>0</v>
      </c>
      <c r="D349" s="33">
        <f t="shared" si="551"/>
        <v>30000</v>
      </c>
      <c r="E349" s="33">
        <f t="shared" si="551"/>
        <v>0</v>
      </c>
      <c r="F349" s="33">
        <f t="shared" si="551"/>
        <v>0</v>
      </c>
      <c r="G349" s="33">
        <f t="shared" si="551"/>
        <v>0</v>
      </c>
      <c r="H349" s="25">
        <f t="shared" si="551"/>
        <v>1520000</v>
      </c>
      <c r="I349" s="25">
        <f t="shared" si="551"/>
        <v>1490000</v>
      </c>
      <c r="J349" s="25">
        <f t="shared" si="551"/>
        <v>1319000</v>
      </c>
      <c r="K349" s="25">
        <f t="shared" si="551"/>
        <v>0</v>
      </c>
    </row>
    <row r="350" spans="1:11" s="8" customFormat="1">
      <c r="A350" s="27" t="s">
        <v>137</v>
      </c>
      <c r="B350" s="27" t="s">
        <v>136</v>
      </c>
      <c r="C350" s="28"/>
      <c r="D350" s="28">
        <v>30000</v>
      </c>
      <c r="E350" s="28"/>
      <c r="F350" s="28"/>
      <c r="G350" s="28"/>
      <c r="H350" s="180">
        <f>2520000-1000000</f>
        <v>1520000</v>
      </c>
      <c r="I350" s="180">
        <f>H350-D350</f>
        <v>1490000</v>
      </c>
      <c r="J350" s="180">
        <f>1619000-300000</f>
        <v>1319000</v>
      </c>
      <c r="K350" s="172"/>
    </row>
    <row r="351" spans="1:11" s="19" customFormat="1" ht="18.75" customHeight="1">
      <c r="A351" s="16" t="s">
        <v>232</v>
      </c>
      <c r="B351" s="17" t="s">
        <v>233</v>
      </c>
      <c r="C351" s="18">
        <f>SUM(C352)</f>
        <v>16303000</v>
      </c>
      <c r="D351" s="18">
        <f t="shared" ref="D351:K351" si="552">SUM(D352)</f>
        <v>47000</v>
      </c>
      <c r="E351" s="18">
        <f t="shared" si="552"/>
        <v>7798652.6699999999</v>
      </c>
      <c r="F351" s="18">
        <f t="shared" si="552"/>
        <v>3045500</v>
      </c>
      <c r="G351" s="18">
        <f t="shared" si="552"/>
        <v>0</v>
      </c>
      <c r="H351" s="18">
        <f t="shared" si="552"/>
        <v>0</v>
      </c>
      <c r="I351" s="18">
        <f t="shared" si="552"/>
        <v>-47000</v>
      </c>
      <c r="J351" s="18">
        <f t="shared" si="552"/>
        <v>0</v>
      </c>
      <c r="K351" s="18">
        <f t="shared" si="552"/>
        <v>0</v>
      </c>
    </row>
    <row r="352" spans="1:11" s="8" customFormat="1">
      <c r="A352" s="36" t="s">
        <v>196</v>
      </c>
      <c r="B352" s="37" t="s">
        <v>197</v>
      </c>
      <c r="C352" s="38">
        <f t="shared" ref="C352" si="553">SUM(C355,C353)</f>
        <v>16303000</v>
      </c>
      <c r="D352" s="38">
        <f t="shared" ref="D352" si="554">SUM(D355,D353)</f>
        <v>47000</v>
      </c>
      <c r="E352" s="38">
        <f t="shared" ref="E352" si="555">SUM(E355,E353)</f>
        <v>7798652.6699999999</v>
      </c>
      <c r="F352" s="38">
        <f t="shared" ref="F352" si="556">SUM(F355,F353)</f>
        <v>3045500</v>
      </c>
      <c r="G352" s="38">
        <f t="shared" ref="G352" si="557">SUM(G355,G353)</f>
        <v>0</v>
      </c>
      <c r="H352" s="38">
        <f t="shared" ref="H352" si="558">SUM(H355,H353)</f>
        <v>0</v>
      </c>
      <c r="I352" s="38">
        <f t="shared" ref="I352" si="559">SUM(I355,I353)</f>
        <v>-47000</v>
      </c>
      <c r="J352" s="38">
        <f t="shared" ref="J352" si="560">SUM(J355,J353)</f>
        <v>0</v>
      </c>
      <c r="K352" s="38">
        <f t="shared" ref="K352" si="561">SUM(K355,K353)</f>
        <v>0</v>
      </c>
    </row>
    <row r="353" spans="1:11" s="8" customFormat="1">
      <c r="A353" s="30" t="s">
        <v>27</v>
      </c>
      <c r="B353" s="31" t="s">
        <v>28</v>
      </c>
      <c r="C353" s="33">
        <f t="shared" ref="C353" si="562">SUM(C354)</f>
        <v>29000</v>
      </c>
      <c r="D353" s="33">
        <f t="shared" ref="D353" si="563">SUM(D354)</f>
        <v>0</v>
      </c>
      <c r="E353" s="33">
        <f t="shared" ref="E353" si="564">SUM(E354)</f>
        <v>0</v>
      </c>
      <c r="F353" s="33">
        <f t="shared" ref="F353" si="565">SUM(F354)</f>
        <v>29000</v>
      </c>
      <c r="G353" s="33">
        <f t="shared" ref="G353" si="566">SUM(G354)</f>
        <v>0</v>
      </c>
      <c r="H353" s="33">
        <f t="shared" ref="H353" si="567">SUM(H354)</f>
        <v>0</v>
      </c>
      <c r="I353" s="33">
        <f t="shared" ref="I353" si="568">SUM(I354)</f>
        <v>0</v>
      </c>
      <c r="J353" s="33">
        <f t="shared" ref="J353" si="569">SUM(J354)</f>
        <v>0</v>
      </c>
      <c r="K353" s="33">
        <f t="shared" ref="K353" si="570">SUM(K354)</f>
        <v>0</v>
      </c>
    </row>
    <row r="354" spans="1:11" s="8" customFormat="1">
      <c r="A354" s="27" t="s">
        <v>29</v>
      </c>
      <c r="B354" s="27" t="s">
        <v>30</v>
      </c>
      <c r="C354" s="28">
        <v>29000</v>
      </c>
      <c r="D354" s="28"/>
      <c r="E354" s="28"/>
      <c r="F354" s="28">
        <v>29000</v>
      </c>
      <c r="G354" s="28"/>
      <c r="H354" s="132"/>
      <c r="I354" s="28">
        <f>H354-D354</f>
        <v>0</v>
      </c>
      <c r="J354" s="28"/>
      <c r="K354" s="28"/>
    </row>
    <row r="355" spans="1:11" s="8" customFormat="1">
      <c r="A355" s="30" t="s">
        <v>39</v>
      </c>
      <c r="B355" s="31" t="s">
        <v>40</v>
      </c>
      <c r="C355" s="33">
        <f t="shared" ref="C355" si="571">SUM(C356:C358)</f>
        <v>16274000</v>
      </c>
      <c r="D355" s="33">
        <f t="shared" ref="D355" si="572">SUM(D356:D358)</f>
        <v>47000</v>
      </c>
      <c r="E355" s="33">
        <f t="shared" ref="E355" si="573">SUM(E356:E358)</f>
        <v>7798652.6699999999</v>
      </c>
      <c r="F355" s="33">
        <f t="shared" ref="F355" si="574">SUM(F356:F358)</f>
        <v>3016500</v>
      </c>
      <c r="G355" s="33">
        <f t="shared" ref="G355" si="575">SUM(G356:G358)</f>
        <v>0</v>
      </c>
      <c r="H355" s="33">
        <f t="shared" ref="H355" si="576">SUM(H356:H358)</f>
        <v>0</v>
      </c>
      <c r="I355" s="33">
        <f t="shared" ref="I355" si="577">SUM(I356:I358)</f>
        <v>-47000</v>
      </c>
      <c r="J355" s="33">
        <f t="shared" ref="J355" si="578">SUM(J356:J358)</f>
        <v>0</v>
      </c>
      <c r="K355" s="33">
        <f t="shared" ref="K355" si="579">SUM(K356:K358)</f>
        <v>0</v>
      </c>
    </row>
    <row r="356" spans="1:11" s="8" customFormat="1">
      <c r="A356" s="27" t="s">
        <v>41</v>
      </c>
      <c r="B356" s="27" t="s">
        <v>42</v>
      </c>
      <c r="C356" s="28">
        <v>500</v>
      </c>
      <c r="D356" s="28"/>
      <c r="E356" s="29">
        <v>186.2</v>
      </c>
      <c r="F356" s="28">
        <v>500</v>
      </c>
      <c r="G356" s="28"/>
      <c r="H356" s="132"/>
      <c r="I356" s="28">
        <f>H356-D356</f>
        <v>0</v>
      </c>
      <c r="J356" s="28"/>
      <c r="K356" s="28"/>
    </row>
    <row r="357" spans="1:11" s="8" customFormat="1">
      <c r="A357" s="27" t="s">
        <v>65</v>
      </c>
      <c r="B357" s="27" t="s">
        <v>66</v>
      </c>
      <c r="C357" s="28">
        <v>13500</v>
      </c>
      <c r="D357" s="28"/>
      <c r="E357" s="29">
        <v>4222.75</v>
      </c>
      <c r="F357" s="28">
        <v>16000</v>
      </c>
      <c r="G357" s="28"/>
      <c r="H357" s="132"/>
      <c r="I357" s="28">
        <f>H357-D357</f>
        <v>0</v>
      </c>
      <c r="J357" s="28"/>
      <c r="K357" s="28"/>
    </row>
    <row r="358" spans="1:11" s="8" customFormat="1">
      <c r="A358" s="27" t="s">
        <v>75</v>
      </c>
      <c r="B358" s="27" t="s">
        <v>76</v>
      </c>
      <c r="C358" s="28">
        <v>16260000</v>
      </c>
      <c r="D358" s="28">
        <v>47000</v>
      </c>
      <c r="E358" s="29">
        <v>7794243.7199999997</v>
      </c>
      <c r="F358" s="28">
        <v>3000000</v>
      </c>
      <c r="G358" s="28"/>
      <c r="H358" s="179"/>
      <c r="I358" s="28">
        <f>H358-D358</f>
        <v>-47000</v>
      </c>
      <c r="J358" s="28"/>
      <c r="K358" s="28"/>
    </row>
    <row r="359" spans="1:11" s="19" customFormat="1" ht="20.399999999999999">
      <c r="A359" s="16" t="s">
        <v>234</v>
      </c>
      <c r="B359" s="17" t="s">
        <v>235</v>
      </c>
      <c r="C359" s="18">
        <f>SUM(C360)</f>
        <v>3404000</v>
      </c>
      <c r="D359" s="18">
        <f t="shared" ref="D359:K359" si="580">SUM(D360)</f>
        <v>67000</v>
      </c>
      <c r="E359" s="18">
        <f t="shared" si="580"/>
        <v>20262.5</v>
      </c>
      <c r="F359" s="18">
        <f t="shared" si="580"/>
        <v>413000</v>
      </c>
      <c r="G359" s="18">
        <f t="shared" si="580"/>
        <v>0</v>
      </c>
      <c r="H359" s="18">
        <f t="shared" si="580"/>
        <v>4521000</v>
      </c>
      <c r="I359" s="18">
        <f t="shared" si="580"/>
        <v>4454000</v>
      </c>
      <c r="J359" s="18">
        <f t="shared" si="580"/>
        <v>0</v>
      </c>
      <c r="K359" s="18">
        <f t="shared" si="580"/>
        <v>0</v>
      </c>
    </row>
    <row r="360" spans="1:11" s="8" customFormat="1">
      <c r="A360" s="36" t="s">
        <v>196</v>
      </c>
      <c r="B360" s="37" t="s">
        <v>197</v>
      </c>
      <c r="C360" s="38">
        <f t="shared" ref="C360" si="581">SUM(C361,C368,C372)</f>
        <v>3404000</v>
      </c>
      <c r="D360" s="38">
        <f t="shared" ref="D360" si="582">SUM(D361,D368,D372)</f>
        <v>67000</v>
      </c>
      <c r="E360" s="38">
        <f t="shared" ref="E360" si="583">SUM(E361,E368,E372)</f>
        <v>20262.5</v>
      </c>
      <c r="F360" s="38">
        <f t="shared" ref="F360" si="584">SUM(F361,F368,F372)</f>
        <v>413000</v>
      </c>
      <c r="G360" s="38">
        <f t="shared" ref="G360" si="585">SUM(G361,G368,G372)</f>
        <v>0</v>
      </c>
      <c r="H360" s="38">
        <f t="shared" ref="H360" si="586">SUM(H361,H368,H372)</f>
        <v>4521000</v>
      </c>
      <c r="I360" s="38">
        <f t="shared" ref="I360" si="587">SUM(I361,I368,I372)</f>
        <v>4454000</v>
      </c>
      <c r="J360" s="38">
        <f t="shared" ref="J360" si="588">SUM(J361,J368,J372)</f>
        <v>0</v>
      </c>
      <c r="K360" s="38">
        <f t="shared" ref="K360" si="589">SUM(K361,K368,K372)</f>
        <v>0</v>
      </c>
    </row>
    <row r="361" spans="1:11" s="8" customFormat="1">
      <c r="A361" s="30" t="s">
        <v>39</v>
      </c>
      <c r="B361" s="31" t="s">
        <v>40</v>
      </c>
      <c r="C361" s="33">
        <f t="shared" ref="C361" si="590">SUM(C362:C367)</f>
        <v>106000</v>
      </c>
      <c r="D361" s="33">
        <f t="shared" ref="D361" si="591">SUM(D362:D367)</f>
        <v>36000</v>
      </c>
      <c r="E361" s="33">
        <f t="shared" ref="E361" si="592">SUM(E362:E367)</f>
        <v>0</v>
      </c>
      <c r="F361" s="33">
        <f t="shared" ref="F361" si="593">SUM(F362:F367)</f>
        <v>13000</v>
      </c>
      <c r="G361" s="33">
        <f t="shared" ref="G361" si="594">SUM(G362:G367)</f>
        <v>0</v>
      </c>
      <c r="H361" s="33">
        <f t="shared" ref="H361" si="595">SUM(H362:H367)</f>
        <v>125000</v>
      </c>
      <c r="I361" s="33">
        <f t="shared" ref="I361" si="596">SUM(I362:I367)</f>
        <v>89000</v>
      </c>
      <c r="J361" s="33">
        <f t="shared" ref="J361" si="597">SUM(J362:J367)</f>
        <v>0</v>
      </c>
      <c r="K361" s="33">
        <f t="shared" ref="K361" si="598">SUM(K362:K367)</f>
        <v>0</v>
      </c>
    </row>
    <row r="362" spans="1:11" s="8" customFormat="1">
      <c r="A362" s="27" t="s">
        <v>45</v>
      </c>
      <c r="B362" s="27" t="s">
        <v>46</v>
      </c>
      <c r="C362" s="28">
        <v>7000</v>
      </c>
      <c r="D362" s="28">
        <v>7000</v>
      </c>
      <c r="E362" s="28"/>
      <c r="F362" s="28"/>
      <c r="G362" s="28"/>
      <c r="H362" s="28">
        <v>10000</v>
      </c>
      <c r="I362" s="28">
        <f t="shared" ref="I362:I367" si="599">H362-D362</f>
        <v>3000</v>
      </c>
      <c r="J362" s="28"/>
      <c r="K362" s="28"/>
    </row>
    <row r="363" spans="1:11" s="8" customFormat="1">
      <c r="A363" s="27" t="s">
        <v>51</v>
      </c>
      <c r="B363" s="27" t="s">
        <v>52</v>
      </c>
      <c r="C363" s="28">
        <v>20000</v>
      </c>
      <c r="D363" s="28"/>
      <c r="E363" s="28"/>
      <c r="F363" s="28"/>
      <c r="G363" s="28"/>
      <c r="H363" s="28">
        <v>80000</v>
      </c>
      <c r="I363" s="28">
        <f t="shared" si="599"/>
        <v>80000</v>
      </c>
      <c r="J363" s="28"/>
      <c r="K363" s="28"/>
    </row>
    <row r="364" spans="1:11" s="8" customFormat="1">
      <c r="A364" s="27" t="s">
        <v>53</v>
      </c>
      <c r="B364" s="27" t="s">
        <v>54</v>
      </c>
      <c r="C364" s="28">
        <v>20000</v>
      </c>
      <c r="D364" s="28">
        <v>20000</v>
      </c>
      <c r="E364" s="28"/>
      <c r="F364" s="28">
        <v>10000</v>
      </c>
      <c r="G364" s="28"/>
      <c r="H364" s="28">
        <v>20000</v>
      </c>
      <c r="I364" s="28">
        <f t="shared" si="599"/>
        <v>0</v>
      </c>
      <c r="J364" s="28"/>
      <c r="K364" s="28"/>
    </row>
    <row r="365" spans="1:11" s="8" customFormat="1">
      <c r="A365" s="27" t="s">
        <v>57</v>
      </c>
      <c r="B365" s="27" t="s">
        <v>58</v>
      </c>
      <c r="C365" s="28">
        <v>50000</v>
      </c>
      <c r="D365" s="28"/>
      <c r="E365" s="28"/>
      <c r="F365" s="28"/>
      <c r="G365" s="28"/>
      <c r="H365" s="28"/>
      <c r="I365" s="28">
        <f t="shared" si="599"/>
        <v>0</v>
      </c>
      <c r="J365" s="28"/>
      <c r="K365" s="28"/>
    </row>
    <row r="366" spans="1:11" s="8" customFormat="1">
      <c r="A366" s="27" t="s">
        <v>65</v>
      </c>
      <c r="B366" s="27" t="s">
        <v>66</v>
      </c>
      <c r="C366" s="28">
        <v>1000</v>
      </c>
      <c r="D366" s="28">
        <v>1000</v>
      </c>
      <c r="E366" s="28"/>
      <c r="F366" s="28"/>
      <c r="G366" s="28"/>
      <c r="H366" s="28">
        <v>3000</v>
      </c>
      <c r="I366" s="28">
        <f t="shared" si="599"/>
        <v>2000</v>
      </c>
      <c r="J366" s="28"/>
      <c r="K366" s="28"/>
    </row>
    <row r="367" spans="1:11" s="8" customFormat="1">
      <c r="A367" s="27" t="s">
        <v>82</v>
      </c>
      <c r="B367" s="27" t="s">
        <v>83</v>
      </c>
      <c r="C367" s="28">
        <v>8000</v>
      </c>
      <c r="D367" s="28">
        <v>8000</v>
      </c>
      <c r="E367" s="28"/>
      <c r="F367" s="28">
        <v>3000</v>
      </c>
      <c r="G367" s="28"/>
      <c r="H367" s="28">
        <v>12000</v>
      </c>
      <c r="I367" s="28">
        <f t="shared" si="599"/>
        <v>4000</v>
      </c>
      <c r="J367" s="28"/>
      <c r="K367" s="28"/>
    </row>
    <row r="368" spans="1:11" s="8" customFormat="1" ht="20.399999999999999">
      <c r="A368" s="30" t="s">
        <v>116</v>
      </c>
      <c r="B368" s="31" t="s">
        <v>117</v>
      </c>
      <c r="C368" s="33">
        <f t="shared" ref="C368" si="600">SUM(C369:C371)</f>
        <v>3098000</v>
      </c>
      <c r="D368" s="33">
        <f t="shared" ref="D368" si="601">SUM(D369:D371)</f>
        <v>21000</v>
      </c>
      <c r="E368" s="33">
        <f t="shared" ref="E368" si="602">SUM(E369:E371)</f>
        <v>20262.5</v>
      </c>
      <c r="F368" s="33">
        <f t="shared" ref="F368" si="603">SUM(F369:F371)</f>
        <v>400000</v>
      </c>
      <c r="G368" s="33">
        <f t="shared" ref="G368" si="604">SUM(G369:G371)</f>
        <v>0</v>
      </c>
      <c r="H368" s="33">
        <f t="shared" ref="H368" si="605">SUM(H369:H371)</f>
        <v>4156000</v>
      </c>
      <c r="I368" s="33">
        <f t="shared" ref="I368" si="606">SUM(I369:I371)</f>
        <v>4135000</v>
      </c>
      <c r="J368" s="33">
        <f t="shared" ref="J368" si="607">SUM(J369:J371)</f>
        <v>0</v>
      </c>
      <c r="K368" s="33">
        <f t="shared" ref="K368" si="608">SUM(K369:K371)</f>
        <v>0</v>
      </c>
    </row>
    <row r="369" spans="1:11" s="8" customFormat="1">
      <c r="A369" s="27" t="s">
        <v>118</v>
      </c>
      <c r="B369" s="27" t="s">
        <v>119</v>
      </c>
      <c r="C369" s="28">
        <v>1500000</v>
      </c>
      <c r="D369" s="28"/>
      <c r="E369" s="28"/>
      <c r="F369" s="28">
        <v>200000</v>
      </c>
      <c r="G369" s="28"/>
      <c r="H369" s="28">
        <v>6000</v>
      </c>
      <c r="I369" s="28">
        <f>H369-D369</f>
        <v>6000</v>
      </c>
      <c r="J369" s="28"/>
      <c r="K369" s="28"/>
    </row>
    <row r="370" spans="1:11" s="8" customFormat="1">
      <c r="A370" s="27" t="s">
        <v>124</v>
      </c>
      <c r="B370" s="27" t="s">
        <v>125</v>
      </c>
      <c r="C370" s="28">
        <v>1500000</v>
      </c>
      <c r="D370" s="28">
        <v>21000</v>
      </c>
      <c r="E370" s="29">
        <v>20262.5</v>
      </c>
      <c r="F370" s="28">
        <v>200000</v>
      </c>
      <c r="G370" s="28"/>
      <c r="H370" s="28">
        <v>4000000</v>
      </c>
      <c r="I370" s="28">
        <f>H370-D370</f>
        <v>3979000</v>
      </c>
      <c r="J370" s="28"/>
      <c r="K370" s="28"/>
    </row>
    <row r="371" spans="1:11" s="8" customFormat="1">
      <c r="A371" s="27" t="s">
        <v>160</v>
      </c>
      <c r="B371" s="27" t="s">
        <v>161</v>
      </c>
      <c r="C371" s="28">
        <v>98000</v>
      </c>
      <c r="D371" s="28"/>
      <c r="E371" s="28"/>
      <c r="F371" s="28"/>
      <c r="G371" s="28"/>
      <c r="H371" s="28">
        <v>150000</v>
      </c>
      <c r="I371" s="28">
        <f>H371-D371</f>
        <v>150000</v>
      </c>
      <c r="J371" s="28"/>
      <c r="K371" s="28"/>
    </row>
    <row r="372" spans="1:11" s="8" customFormat="1" ht="20.399999999999999">
      <c r="A372" s="30" t="s">
        <v>134</v>
      </c>
      <c r="B372" s="31" t="s">
        <v>135</v>
      </c>
      <c r="C372" s="33">
        <f t="shared" ref="C372" si="609">SUM(C373)</f>
        <v>200000</v>
      </c>
      <c r="D372" s="33">
        <f t="shared" ref="D372" si="610">SUM(D373)</f>
        <v>10000</v>
      </c>
      <c r="E372" s="33">
        <f t="shared" ref="E372" si="611">SUM(E373)</f>
        <v>0</v>
      </c>
      <c r="F372" s="33">
        <f t="shared" ref="F372" si="612">SUM(F373)</f>
        <v>0</v>
      </c>
      <c r="G372" s="33">
        <f t="shared" ref="G372" si="613">SUM(G373)</f>
        <v>0</v>
      </c>
      <c r="H372" s="33">
        <f t="shared" ref="H372" si="614">SUM(H373)</f>
        <v>240000</v>
      </c>
      <c r="I372" s="33">
        <f t="shared" ref="I372" si="615">SUM(I373)</f>
        <v>230000</v>
      </c>
      <c r="J372" s="33">
        <f t="shared" ref="J372" si="616">SUM(J373)</f>
        <v>0</v>
      </c>
      <c r="K372" s="33">
        <f t="shared" ref="K372" si="617">SUM(K373)</f>
        <v>0</v>
      </c>
    </row>
    <row r="373" spans="1:11" s="8" customFormat="1">
      <c r="A373" s="27" t="s">
        <v>137</v>
      </c>
      <c r="B373" s="27" t="s">
        <v>136</v>
      </c>
      <c r="C373" s="28">
        <v>200000</v>
      </c>
      <c r="D373" s="28">
        <v>10000</v>
      </c>
      <c r="E373" s="28"/>
      <c r="F373" s="28"/>
      <c r="G373" s="28"/>
      <c r="H373" s="28">
        <v>240000</v>
      </c>
      <c r="I373" s="28">
        <f>H373-D373</f>
        <v>230000</v>
      </c>
      <c r="J373" s="28"/>
      <c r="K373" s="28"/>
    </row>
    <row r="374" spans="1:11" s="19" customFormat="1" ht="30.6">
      <c r="A374" s="16" t="s">
        <v>236</v>
      </c>
      <c r="B374" s="17" t="s">
        <v>237</v>
      </c>
      <c r="C374" s="18">
        <f>SUM(C375)</f>
        <v>3000</v>
      </c>
      <c r="D374" s="18">
        <f t="shared" ref="D374:K375" si="618">SUM(D375)</f>
        <v>0</v>
      </c>
      <c r="E374" s="18">
        <f t="shared" si="618"/>
        <v>0</v>
      </c>
      <c r="F374" s="18">
        <f t="shared" si="618"/>
        <v>3000</v>
      </c>
      <c r="G374" s="18">
        <f t="shared" si="618"/>
        <v>3000</v>
      </c>
      <c r="H374" s="18">
        <f t="shared" si="618"/>
        <v>0</v>
      </c>
      <c r="I374" s="18">
        <f t="shared" si="618"/>
        <v>0</v>
      </c>
      <c r="J374" s="18">
        <f t="shared" si="618"/>
        <v>0</v>
      </c>
      <c r="K374" s="18">
        <f t="shared" si="618"/>
        <v>0</v>
      </c>
    </row>
    <row r="375" spans="1:11" s="8" customFormat="1">
      <c r="A375" s="36" t="s">
        <v>196</v>
      </c>
      <c r="B375" s="37" t="s">
        <v>197</v>
      </c>
      <c r="C375" s="38">
        <f>SUM(C376)</f>
        <v>3000</v>
      </c>
      <c r="D375" s="38">
        <f t="shared" si="618"/>
        <v>0</v>
      </c>
      <c r="E375" s="38">
        <f t="shared" si="618"/>
        <v>0</v>
      </c>
      <c r="F375" s="38">
        <f t="shared" si="618"/>
        <v>3000</v>
      </c>
      <c r="G375" s="38">
        <f t="shared" si="618"/>
        <v>3000</v>
      </c>
      <c r="H375" s="38">
        <f t="shared" si="618"/>
        <v>0</v>
      </c>
      <c r="I375" s="38">
        <f t="shared" si="618"/>
        <v>0</v>
      </c>
      <c r="J375" s="38">
        <f t="shared" si="618"/>
        <v>0</v>
      </c>
      <c r="K375" s="38">
        <f t="shared" si="618"/>
        <v>0</v>
      </c>
    </row>
    <row r="376" spans="1:11" s="8" customFormat="1">
      <c r="A376" s="30" t="s">
        <v>39</v>
      </c>
      <c r="B376" s="31" t="s">
        <v>40</v>
      </c>
      <c r="C376" s="33">
        <f t="shared" ref="C376" si="619">SUM(C377)</f>
        <v>3000</v>
      </c>
      <c r="D376" s="33">
        <f t="shared" ref="D376" si="620">SUM(D377)</f>
        <v>0</v>
      </c>
      <c r="E376" s="33">
        <f t="shared" ref="E376" si="621">SUM(E377)</f>
        <v>0</v>
      </c>
      <c r="F376" s="33">
        <f t="shared" ref="F376" si="622">SUM(F377)</f>
        <v>3000</v>
      </c>
      <c r="G376" s="33">
        <f t="shared" ref="G376" si="623">SUM(G377)</f>
        <v>3000</v>
      </c>
      <c r="H376" s="33">
        <f t="shared" ref="H376" si="624">SUM(H377)</f>
        <v>0</v>
      </c>
      <c r="I376" s="33">
        <f t="shared" ref="I376" si="625">SUM(I377)</f>
        <v>0</v>
      </c>
      <c r="J376" s="33">
        <f t="shared" ref="J376" si="626">SUM(J377)</f>
        <v>0</v>
      </c>
      <c r="K376" s="33">
        <f t="shared" ref="K376" si="627">SUM(K377)</f>
        <v>0</v>
      </c>
    </row>
    <row r="377" spans="1:11" s="8" customFormat="1">
      <c r="A377" s="27" t="s">
        <v>45</v>
      </c>
      <c r="B377" s="27" t="s">
        <v>46</v>
      </c>
      <c r="C377" s="28">
        <v>3000</v>
      </c>
      <c r="D377" s="28"/>
      <c r="E377" s="28"/>
      <c r="F377" s="28">
        <v>3000</v>
      </c>
      <c r="G377" s="28">
        <v>3000</v>
      </c>
      <c r="H377" s="28"/>
      <c r="I377" s="28">
        <f>H377-D377</f>
        <v>0</v>
      </c>
      <c r="J377" s="28"/>
      <c r="K377" s="28"/>
    </row>
    <row r="378" spans="1:11" s="19" customFormat="1" ht="30.6">
      <c r="A378" s="16" t="s">
        <v>238</v>
      </c>
      <c r="B378" s="17" t="s">
        <v>239</v>
      </c>
      <c r="C378" s="18">
        <f>SUM(C379)</f>
        <v>42000</v>
      </c>
      <c r="D378" s="18">
        <f t="shared" ref="D378:K378" si="628">SUM(D379)</f>
        <v>19500</v>
      </c>
      <c r="E378" s="18">
        <f t="shared" si="628"/>
        <v>311.85000000000002</v>
      </c>
      <c r="F378" s="18">
        <f t="shared" si="628"/>
        <v>5000</v>
      </c>
      <c r="G378" s="18">
        <f t="shared" si="628"/>
        <v>5000</v>
      </c>
      <c r="H378" s="18">
        <f t="shared" si="628"/>
        <v>38000</v>
      </c>
      <c r="I378" s="18">
        <f t="shared" si="628"/>
        <v>18500</v>
      </c>
      <c r="J378" s="18">
        <f t="shared" si="628"/>
        <v>11000</v>
      </c>
      <c r="K378" s="18">
        <f t="shared" si="628"/>
        <v>0</v>
      </c>
    </row>
    <row r="379" spans="1:11" s="8" customFormat="1">
      <c r="A379" s="36" t="s">
        <v>196</v>
      </c>
      <c r="B379" s="37" t="s">
        <v>197</v>
      </c>
      <c r="C379" s="38">
        <f t="shared" ref="C379" si="629">SUM(C380,C382,C393)</f>
        <v>42000</v>
      </c>
      <c r="D379" s="38">
        <f t="shared" ref="D379" si="630">SUM(D380,D382,D393)</f>
        <v>19500</v>
      </c>
      <c r="E379" s="38">
        <f t="shared" ref="E379" si="631">SUM(E380,E382,E393)</f>
        <v>311.85000000000002</v>
      </c>
      <c r="F379" s="38">
        <f t="shared" ref="F379" si="632">SUM(F380,F382,F393)</f>
        <v>5000</v>
      </c>
      <c r="G379" s="38">
        <f t="shared" ref="G379" si="633">SUM(G380,G382,G393)</f>
        <v>5000</v>
      </c>
      <c r="H379" s="38">
        <f t="shared" ref="H379" si="634">SUM(H380,H382,H393)</f>
        <v>38000</v>
      </c>
      <c r="I379" s="38">
        <f t="shared" ref="I379" si="635">SUM(I380,I382,I393)</f>
        <v>18500</v>
      </c>
      <c r="J379" s="38">
        <f t="shared" ref="J379" si="636">SUM(J380,J382,J393)</f>
        <v>11000</v>
      </c>
      <c r="K379" s="38">
        <f t="shared" ref="K379" si="637">SUM(K380,K382,K393)</f>
        <v>0</v>
      </c>
    </row>
    <row r="380" spans="1:11" s="8" customFormat="1">
      <c r="A380" s="30" t="s">
        <v>27</v>
      </c>
      <c r="B380" s="31" t="s">
        <v>28</v>
      </c>
      <c r="C380" s="33">
        <f t="shared" ref="C380" si="638">SUM(C381)</f>
        <v>4500</v>
      </c>
      <c r="D380" s="33">
        <f t="shared" ref="D380" si="639">SUM(D381)</f>
        <v>4500</v>
      </c>
      <c r="E380" s="33">
        <f t="shared" ref="E380" si="640">SUM(E381)</f>
        <v>0</v>
      </c>
      <c r="F380" s="33">
        <f t="shared" ref="F380" si="641">SUM(F381)</f>
        <v>1500</v>
      </c>
      <c r="G380" s="33">
        <f t="shared" ref="G380" si="642">SUM(G381)</f>
        <v>1000</v>
      </c>
      <c r="H380" s="33">
        <f t="shared" ref="H380" si="643">SUM(H381)</f>
        <v>1000</v>
      </c>
      <c r="I380" s="33">
        <f t="shared" ref="I380" si="644">SUM(I381)</f>
        <v>-3500</v>
      </c>
      <c r="J380" s="33">
        <f t="shared" ref="J380" si="645">SUM(J381)</f>
        <v>1000</v>
      </c>
      <c r="K380" s="33">
        <f t="shared" ref="K380" si="646">SUM(K381)</f>
        <v>0</v>
      </c>
    </row>
    <row r="381" spans="1:11" s="8" customFormat="1">
      <c r="A381" s="27" t="s">
        <v>29</v>
      </c>
      <c r="B381" s="27" t="s">
        <v>30</v>
      </c>
      <c r="C381" s="28">
        <v>4500</v>
      </c>
      <c r="D381" s="28">
        <v>4500</v>
      </c>
      <c r="E381" s="28"/>
      <c r="F381" s="28">
        <v>1500</v>
      </c>
      <c r="G381" s="28">
        <v>1000</v>
      </c>
      <c r="H381" s="28">
        <v>1000</v>
      </c>
      <c r="I381" s="28">
        <f>H381-D381</f>
        <v>-3500</v>
      </c>
      <c r="J381" s="28">
        <v>1000</v>
      </c>
      <c r="K381" s="28"/>
    </row>
    <row r="382" spans="1:11" s="8" customFormat="1">
      <c r="A382" s="30" t="s">
        <v>39</v>
      </c>
      <c r="B382" s="31" t="s">
        <v>40</v>
      </c>
      <c r="C382" s="33">
        <f t="shared" ref="C382" si="647">SUM(C383:C392)</f>
        <v>11000</v>
      </c>
      <c r="D382" s="33">
        <f t="shared" ref="D382" si="648">SUM(D383:D392)</f>
        <v>12000</v>
      </c>
      <c r="E382" s="33">
        <f t="shared" ref="E382" si="649">SUM(E383:E392)</f>
        <v>311.85000000000002</v>
      </c>
      <c r="F382" s="33">
        <f t="shared" ref="F382" si="650">SUM(F383:F392)</f>
        <v>3500</v>
      </c>
      <c r="G382" s="33">
        <f t="shared" ref="G382" si="651">SUM(G383:G392)</f>
        <v>4000</v>
      </c>
      <c r="H382" s="33">
        <f>SUM(H383:H392)</f>
        <v>17000</v>
      </c>
      <c r="I382" s="33">
        <f t="shared" ref="I382" si="652">SUM(I383:I392)</f>
        <v>5000</v>
      </c>
      <c r="J382" s="33">
        <f t="shared" ref="J382" si="653">SUM(J383:J392)</f>
        <v>8000</v>
      </c>
      <c r="K382" s="33">
        <f t="shared" ref="K382" si="654">SUM(K383:K392)</f>
        <v>0</v>
      </c>
    </row>
    <row r="383" spans="1:11" s="8" customFormat="1">
      <c r="A383" s="27" t="s">
        <v>41</v>
      </c>
      <c r="B383" s="27" t="s">
        <v>42</v>
      </c>
      <c r="C383" s="28">
        <v>500</v>
      </c>
      <c r="D383" s="28">
        <v>500</v>
      </c>
      <c r="E383" s="28"/>
      <c r="F383" s="28">
        <v>500</v>
      </c>
      <c r="G383" s="28">
        <v>500</v>
      </c>
      <c r="H383" s="28">
        <v>3000</v>
      </c>
      <c r="I383" s="28">
        <f t="shared" ref="I383:I392" si="655">H383-D383</f>
        <v>2500</v>
      </c>
      <c r="J383" s="28">
        <v>3000</v>
      </c>
      <c r="K383" s="28"/>
    </row>
    <row r="384" spans="1:11" s="8" customFormat="1">
      <c r="A384" s="27" t="s">
        <v>45</v>
      </c>
      <c r="B384" s="27" t="s">
        <v>46</v>
      </c>
      <c r="C384" s="28">
        <v>2000</v>
      </c>
      <c r="D384" s="28">
        <v>2000</v>
      </c>
      <c r="E384" s="28"/>
      <c r="F384" s="28"/>
      <c r="G384" s="28"/>
      <c r="H384" s="28">
        <v>13000</v>
      </c>
      <c r="I384" s="28">
        <f t="shared" si="655"/>
        <v>11000</v>
      </c>
      <c r="J384" s="28"/>
      <c r="K384" s="28"/>
    </row>
    <row r="385" spans="1:11" s="8" customFormat="1">
      <c r="A385" s="27" t="s">
        <v>49</v>
      </c>
      <c r="B385" s="27" t="s">
        <v>50</v>
      </c>
      <c r="C385" s="28">
        <v>500</v>
      </c>
      <c r="D385" s="28">
        <v>500</v>
      </c>
      <c r="E385" s="28"/>
      <c r="F385" s="28">
        <v>500</v>
      </c>
      <c r="G385" s="28">
        <v>500</v>
      </c>
      <c r="H385" s="28">
        <v>1000</v>
      </c>
      <c r="I385" s="28">
        <f t="shared" si="655"/>
        <v>500</v>
      </c>
      <c r="J385" s="28">
        <v>1000</v>
      </c>
      <c r="K385" s="28"/>
    </row>
    <row r="386" spans="1:11" s="8" customFormat="1">
      <c r="A386" s="27" t="s">
        <v>53</v>
      </c>
      <c r="B386" s="27" t="s">
        <v>54</v>
      </c>
      <c r="C386" s="28">
        <v>500</v>
      </c>
      <c r="D386" s="28">
        <v>500</v>
      </c>
      <c r="E386" s="28"/>
      <c r="F386" s="28">
        <v>500</v>
      </c>
      <c r="G386" s="28">
        <v>500</v>
      </c>
      <c r="H386" s="28"/>
      <c r="I386" s="28">
        <f t="shared" si="655"/>
        <v>-500</v>
      </c>
      <c r="J386" s="28"/>
      <c r="K386" s="28"/>
    </row>
    <row r="387" spans="1:11" s="8" customFormat="1">
      <c r="A387" s="27" t="s">
        <v>65</v>
      </c>
      <c r="B387" s="27" t="s">
        <v>66</v>
      </c>
      <c r="C387" s="28">
        <v>2500</v>
      </c>
      <c r="D387" s="28">
        <v>2500</v>
      </c>
      <c r="E387" s="28"/>
      <c r="F387" s="28"/>
      <c r="G387" s="28"/>
      <c r="H387" s="28"/>
      <c r="I387" s="28">
        <f t="shared" si="655"/>
        <v>-2500</v>
      </c>
      <c r="J387" s="28"/>
      <c r="K387" s="28"/>
    </row>
    <row r="388" spans="1:11" s="8" customFormat="1">
      <c r="A388" s="27" t="s">
        <v>69</v>
      </c>
      <c r="B388" s="27" t="s">
        <v>70</v>
      </c>
      <c r="C388" s="41">
        <v>0</v>
      </c>
      <c r="D388" s="41">
        <v>0</v>
      </c>
      <c r="E388" s="28"/>
      <c r="F388" s="28">
        <v>500</v>
      </c>
      <c r="G388" s="28"/>
      <c r="H388" s="28"/>
      <c r="I388" s="28">
        <f t="shared" si="655"/>
        <v>0</v>
      </c>
      <c r="J388" s="28">
        <v>2000</v>
      </c>
      <c r="K388" s="28"/>
    </row>
    <row r="389" spans="1:11" s="8" customFormat="1">
      <c r="A389" s="27" t="s">
        <v>73</v>
      </c>
      <c r="B389" s="27" t="s">
        <v>74</v>
      </c>
      <c r="C389" s="28">
        <v>4000</v>
      </c>
      <c r="D389" s="28">
        <v>4000</v>
      </c>
      <c r="E389" s="28"/>
      <c r="F389" s="28"/>
      <c r="G389" s="28"/>
      <c r="H389" s="28"/>
      <c r="I389" s="28">
        <f t="shared" si="655"/>
        <v>-4000</v>
      </c>
      <c r="J389" s="28"/>
      <c r="K389" s="28"/>
    </row>
    <row r="390" spans="1:11" s="8" customFormat="1">
      <c r="A390" s="27" t="s">
        <v>75</v>
      </c>
      <c r="B390" s="27" t="s">
        <v>76</v>
      </c>
      <c r="C390" s="28"/>
      <c r="D390" s="28">
        <v>1000</v>
      </c>
      <c r="E390" s="29">
        <v>311.85000000000002</v>
      </c>
      <c r="F390" s="28">
        <v>500</v>
      </c>
      <c r="G390" s="28"/>
      <c r="H390" s="28"/>
      <c r="I390" s="28">
        <f t="shared" si="655"/>
        <v>-1000</v>
      </c>
      <c r="J390" s="28"/>
      <c r="K390" s="28"/>
    </row>
    <row r="391" spans="1:11" s="8" customFormat="1">
      <c r="A391" s="27" t="s">
        <v>78</v>
      </c>
      <c r="B391" s="27" t="s">
        <v>77</v>
      </c>
      <c r="C391" s="28"/>
      <c r="D391" s="28"/>
      <c r="E391" s="28"/>
      <c r="F391" s="28">
        <v>1000</v>
      </c>
      <c r="G391" s="28">
        <v>1000</v>
      </c>
      <c r="H391" s="28"/>
      <c r="I391" s="28">
        <f t="shared" si="655"/>
        <v>0</v>
      </c>
      <c r="J391" s="28"/>
      <c r="K391" s="28"/>
    </row>
    <row r="392" spans="1:11" s="8" customFormat="1">
      <c r="A392" s="27" t="s">
        <v>84</v>
      </c>
      <c r="B392" s="27" t="s">
        <v>85</v>
      </c>
      <c r="C392" s="28">
        <v>1000</v>
      </c>
      <c r="D392" s="28">
        <v>1000</v>
      </c>
      <c r="E392" s="28"/>
      <c r="F392" s="41">
        <v>0</v>
      </c>
      <c r="G392" s="28">
        <v>1500</v>
      </c>
      <c r="H392" s="28"/>
      <c r="I392" s="28">
        <f t="shared" si="655"/>
        <v>-1000</v>
      </c>
      <c r="J392" s="28">
        <v>2000</v>
      </c>
      <c r="K392" s="28"/>
    </row>
    <row r="393" spans="1:11" s="8" customFormat="1" ht="20.399999999999999">
      <c r="A393" s="30" t="s">
        <v>116</v>
      </c>
      <c r="B393" s="31" t="s">
        <v>117</v>
      </c>
      <c r="C393" s="40">
        <f t="shared" ref="C393" si="656">SUM(C394:C396)</f>
        <v>26500</v>
      </c>
      <c r="D393" s="40">
        <f t="shared" ref="D393" si="657">SUM(D394:D396)</f>
        <v>3000</v>
      </c>
      <c r="E393" s="40">
        <f t="shared" ref="E393" si="658">SUM(E394:E396)</f>
        <v>0</v>
      </c>
      <c r="F393" s="40">
        <f t="shared" ref="F393" si="659">SUM(F394:F396)</f>
        <v>0</v>
      </c>
      <c r="G393" s="40">
        <f t="shared" ref="G393" si="660">SUM(G394:G396)</f>
        <v>0</v>
      </c>
      <c r="H393" s="33">
        <f t="shared" ref="H393" si="661">SUM(H394:H396)</f>
        <v>20000</v>
      </c>
      <c r="I393" s="40">
        <f t="shared" ref="I393" si="662">SUM(I394:I396)</f>
        <v>17000</v>
      </c>
      <c r="J393" s="40">
        <f t="shared" ref="J393" si="663">SUM(J394:J396)</f>
        <v>2000</v>
      </c>
      <c r="K393" s="40">
        <f t="shared" ref="K393" si="664">SUM(K394:K396)</f>
        <v>0</v>
      </c>
    </row>
    <row r="394" spans="1:11" s="8" customFormat="1">
      <c r="A394" s="27" t="s">
        <v>118</v>
      </c>
      <c r="B394" s="27" t="s">
        <v>119</v>
      </c>
      <c r="C394" s="28">
        <v>10500</v>
      </c>
      <c r="D394" s="28"/>
      <c r="E394" s="28"/>
      <c r="F394" s="28"/>
      <c r="G394" s="28"/>
      <c r="H394" s="132">
        <v>10000</v>
      </c>
      <c r="I394" s="28">
        <f>H394-D394</f>
        <v>10000</v>
      </c>
      <c r="J394" s="28">
        <v>2000</v>
      </c>
      <c r="K394" s="28"/>
    </row>
    <row r="395" spans="1:11" s="8" customFormat="1">
      <c r="A395" s="27" t="s">
        <v>124</v>
      </c>
      <c r="B395" s="27" t="s">
        <v>125</v>
      </c>
      <c r="C395" s="28">
        <v>3000</v>
      </c>
      <c r="D395" s="28">
        <v>3000</v>
      </c>
      <c r="E395" s="28"/>
      <c r="F395" s="28"/>
      <c r="G395" s="28"/>
      <c r="H395" s="132"/>
      <c r="I395" s="28">
        <f>H395-D395</f>
        <v>-3000</v>
      </c>
      <c r="J395" s="28"/>
      <c r="K395" s="28"/>
    </row>
    <row r="396" spans="1:11" s="8" customFormat="1">
      <c r="A396" s="27" t="s">
        <v>160</v>
      </c>
      <c r="B396" s="27" t="s">
        <v>161</v>
      </c>
      <c r="C396" s="28">
        <v>13000</v>
      </c>
      <c r="D396" s="28"/>
      <c r="E396" s="28"/>
      <c r="F396" s="41">
        <v>0</v>
      </c>
      <c r="G396" s="28"/>
      <c r="H396" s="132">
        <v>10000</v>
      </c>
      <c r="I396" s="28">
        <f>H396-D396</f>
        <v>10000</v>
      </c>
      <c r="J396" s="28"/>
      <c r="K396" s="28"/>
    </row>
    <row r="397" spans="1:11" s="19" customFormat="1" ht="17.25" customHeight="1">
      <c r="A397" s="16" t="s">
        <v>250</v>
      </c>
      <c r="B397" s="17" t="s">
        <v>251</v>
      </c>
      <c r="C397" s="18">
        <f>SUM(C398)</f>
        <v>30500</v>
      </c>
      <c r="D397" s="18">
        <f t="shared" ref="D397:K397" si="665">SUM(D398)</f>
        <v>45500</v>
      </c>
      <c r="E397" s="18">
        <f t="shared" si="665"/>
        <v>9369.2199999999993</v>
      </c>
      <c r="F397" s="18">
        <f t="shared" si="665"/>
        <v>1500</v>
      </c>
      <c r="G397" s="18">
        <f t="shared" si="665"/>
        <v>1000</v>
      </c>
      <c r="H397" s="18">
        <f t="shared" si="665"/>
        <v>1500</v>
      </c>
      <c r="I397" s="18">
        <f t="shared" si="665"/>
        <v>-44000</v>
      </c>
      <c r="J397" s="18">
        <f t="shared" si="665"/>
        <v>1000</v>
      </c>
      <c r="K397" s="18">
        <f t="shared" si="665"/>
        <v>1500</v>
      </c>
    </row>
    <row r="398" spans="1:11" s="8" customFormat="1">
      <c r="A398" s="36" t="s">
        <v>196</v>
      </c>
      <c r="B398" s="37" t="s">
        <v>197</v>
      </c>
      <c r="C398" s="38">
        <f>SUM(C399,C401)</f>
        <v>30500</v>
      </c>
      <c r="D398" s="38">
        <f t="shared" ref="D398:K398" si="666">SUM(D399,D401)</f>
        <v>45500</v>
      </c>
      <c r="E398" s="38">
        <f t="shared" si="666"/>
        <v>9369.2199999999993</v>
      </c>
      <c r="F398" s="38">
        <f t="shared" si="666"/>
        <v>1500</v>
      </c>
      <c r="G398" s="38">
        <f t="shared" si="666"/>
        <v>1000</v>
      </c>
      <c r="H398" s="38">
        <f t="shared" si="666"/>
        <v>1500</v>
      </c>
      <c r="I398" s="38">
        <f t="shared" si="666"/>
        <v>-44000</v>
      </c>
      <c r="J398" s="38">
        <f t="shared" si="666"/>
        <v>1000</v>
      </c>
      <c r="K398" s="38">
        <f t="shared" si="666"/>
        <v>1500</v>
      </c>
    </row>
    <row r="399" spans="1:11" s="8" customFormat="1">
      <c r="A399" s="30" t="s">
        <v>27</v>
      </c>
      <c r="B399" s="31" t="s">
        <v>28</v>
      </c>
      <c r="C399" s="33">
        <f t="shared" ref="C399" si="667">SUM(C400)</f>
        <v>5000</v>
      </c>
      <c r="D399" s="33">
        <f t="shared" ref="D399" si="668">SUM(D400)</f>
        <v>5000</v>
      </c>
      <c r="E399" s="33">
        <f t="shared" ref="E399" si="669">SUM(E400)</f>
        <v>0</v>
      </c>
      <c r="F399" s="33">
        <f t="shared" ref="F399" si="670">SUM(F400)</f>
        <v>0</v>
      </c>
      <c r="G399" s="33">
        <f t="shared" ref="G399" si="671">SUM(G400)</f>
        <v>0</v>
      </c>
      <c r="H399" s="33">
        <f t="shared" ref="H399" si="672">SUM(H400)</f>
        <v>0</v>
      </c>
      <c r="I399" s="33">
        <f t="shared" ref="I399" si="673">SUM(I400)</f>
        <v>-5000</v>
      </c>
      <c r="J399" s="33">
        <f t="shared" ref="J399" si="674">SUM(J400)</f>
        <v>0</v>
      </c>
      <c r="K399" s="33">
        <f t="shared" ref="K399" si="675">SUM(K400)</f>
        <v>0</v>
      </c>
    </row>
    <row r="400" spans="1:11" s="8" customFormat="1">
      <c r="A400" s="27" t="s">
        <v>29</v>
      </c>
      <c r="B400" s="27" t="s">
        <v>30</v>
      </c>
      <c r="C400" s="28">
        <v>5000</v>
      </c>
      <c r="D400" s="28">
        <v>5000</v>
      </c>
      <c r="E400" s="28"/>
      <c r="F400" s="28"/>
      <c r="G400" s="28"/>
      <c r="H400" s="28"/>
      <c r="I400" s="28">
        <f>H400-D400</f>
        <v>-5000</v>
      </c>
      <c r="J400" s="28"/>
      <c r="K400" s="28"/>
    </row>
    <row r="401" spans="1:11" s="8" customFormat="1">
      <c r="A401" s="30" t="s">
        <v>39</v>
      </c>
      <c r="B401" s="31" t="s">
        <v>40</v>
      </c>
      <c r="C401" s="33">
        <f t="shared" ref="C401" si="676">SUM(C402:C409)</f>
        <v>25500</v>
      </c>
      <c r="D401" s="33">
        <f t="shared" ref="D401" si="677">SUM(D402:D409)</f>
        <v>40500</v>
      </c>
      <c r="E401" s="33">
        <f t="shared" ref="E401" si="678">SUM(E402:E409)</f>
        <v>9369.2199999999993</v>
      </c>
      <c r="F401" s="33">
        <f t="shared" ref="F401" si="679">SUM(F402:F409)</f>
        <v>1500</v>
      </c>
      <c r="G401" s="33">
        <f t="shared" ref="G401" si="680">SUM(G402:G409)</f>
        <v>1000</v>
      </c>
      <c r="H401" s="33">
        <f t="shared" ref="H401" si="681">SUM(H402:H409)</f>
        <v>1500</v>
      </c>
      <c r="I401" s="33">
        <f t="shared" ref="I401" si="682">SUM(I402:I409)</f>
        <v>-39000</v>
      </c>
      <c r="J401" s="33">
        <f t="shared" ref="J401" si="683">SUM(J402:J409)</f>
        <v>1000</v>
      </c>
      <c r="K401" s="33">
        <f t="shared" ref="K401" si="684">SUM(K402:K409)</f>
        <v>1500</v>
      </c>
    </row>
    <row r="402" spans="1:11" s="8" customFormat="1">
      <c r="A402" s="27" t="s">
        <v>41</v>
      </c>
      <c r="B402" s="27" t="s">
        <v>42</v>
      </c>
      <c r="C402" s="28">
        <v>3500</v>
      </c>
      <c r="D402" s="28">
        <v>3500</v>
      </c>
      <c r="E402" s="29">
        <v>405.32</v>
      </c>
      <c r="F402" s="28">
        <v>1500</v>
      </c>
      <c r="G402" s="28">
        <v>1000</v>
      </c>
      <c r="H402" s="28">
        <v>1500</v>
      </c>
      <c r="I402" s="28">
        <f t="shared" ref="I402:I409" si="685">H402-D402</f>
        <v>-2000</v>
      </c>
      <c r="J402" s="28">
        <v>1000</v>
      </c>
      <c r="K402" s="28">
        <v>1500</v>
      </c>
    </row>
    <row r="403" spans="1:11" s="8" customFormat="1">
      <c r="A403" s="27" t="s">
        <v>51</v>
      </c>
      <c r="B403" s="27" t="s">
        <v>52</v>
      </c>
      <c r="C403" s="28"/>
      <c r="D403" s="28">
        <v>3000</v>
      </c>
      <c r="E403" s="29">
        <v>2779.45</v>
      </c>
      <c r="F403" s="28"/>
      <c r="G403" s="28"/>
      <c r="H403" s="28"/>
      <c r="I403" s="28">
        <f t="shared" si="685"/>
        <v>-3000</v>
      </c>
      <c r="J403" s="28"/>
      <c r="K403" s="28"/>
    </row>
    <row r="404" spans="1:11" s="8" customFormat="1">
      <c r="A404" s="27" t="s">
        <v>65</v>
      </c>
      <c r="B404" s="27" t="s">
        <v>66</v>
      </c>
      <c r="C404" s="28">
        <v>6000</v>
      </c>
      <c r="D404" s="28">
        <v>6000</v>
      </c>
      <c r="E404" s="28"/>
      <c r="F404" s="28"/>
      <c r="G404" s="28"/>
      <c r="H404" s="28"/>
      <c r="I404" s="28">
        <f t="shared" si="685"/>
        <v>-6000</v>
      </c>
      <c r="J404" s="28"/>
      <c r="K404" s="28"/>
    </row>
    <row r="405" spans="1:11" s="8" customFormat="1">
      <c r="A405" s="27" t="s">
        <v>69</v>
      </c>
      <c r="B405" s="27" t="s">
        <v>70</v>
      </c>
      <c r="C405" s="28">
        <v>2000</v>
      </c>
      <c r="D405" s="28">
        <v>2000</v>
      </c>
      <c r="E405" s="28"/>
      <c r="F405" s="28"/>
      <c r="G405" s="28"/>
      <c r="H405" s="28"/>
      <c r="I405" s="28">
        <f t="shared" si="685"/>
        <v>-2000</v>
      </c>
      <c r="J405" s="28"/>
      <c r="K405" s="28"/>
    </row>
    <row r="406" spans="1:11" s="8" customFormat="1">
      <c r="A406" s="27" t="s">
        <v>132</v>
      </c>
      <c r="B406" s="27" t="s">
        <v>133</v>
      </c>
      <c r="C406" s="28">
        <v>6000</v>
      </c>
      <c r="D406" s="28">
        <v>6000</v>
      </c>
      <c r="E406" s="28"/>
      <c r="F406" s="28"/>
      <c r="G406" s="28"/>
      <c r="H406" s="28"/>
      <c r="I406" s="28">
        <f t="shared" si="685"/>
        <v>-6000</v>
      </c>
      <c r="J406" s="28"/>
      <c r="K406" s="28"/>
    </row>
    <row r="407" spans="1:11" s="8" customFormat="1">
      <c r="A407" s="27" t="s">
        <v>75</v>
      </c>
      <c r="B407" s="27" t="s">
        <v>76</v>
      </c>
      <c r="C407" s="28"/>
      <c r="D407" s="28">
        <v>12000</v>
      </c>
      <c r="E407" s="29">
        <v>6184.45</v>
      </c>
      <c r="F407" s="28"/>
      <c r="G407" s="28"/>
      <c r="H407" s="28"/>
      <c r="I407" s="28">
        <f t="shared" si="685"/>
        <v>-12000</v>
      </c>
      <c r="J407" s="28"/>
      <c r="K407" s="28"/>
    </row>
    <row r="408" spans="1:11" s="8" customFormat="1">
      <c r="A408" s="27" t="s">
        <v>78</v>
      </c>
      <c r="B408" s="27" t="s">
        <v>77</v>
      </c>
      <c r="C408" s="28">
        <v>4000</v>
      </c>
      <c r="D408" s="28">
        <v>4000</v>
      </c>
      <c r="E408" s="28"/>
      <c r="F408" s="28"/>
      <c r="G408" s="28"/>
      <c r="H408" s="28"/>
      <c r="I408" s="28">
        <f t="shared" si="685"/>
        <v>-4000</v>
      </c>
      <c r="J408" s="28"/>
      <c r="K408" s="28"/>
    </row>
    <row r="409" spans="1:11" s="8" customFormat="1">
      <c r="A409" s="27" t="s">
        <v>84</v>
      </c>
      <c r="B409" s="27" t="s">
        <v>85</v>
      </c>
      <c r="C409" s="28">
        <v>4000</v>
      </c>
      <c r="D409" s="28">
        <v>4000</v>
      </c>
      <c r="E409" s="28"/>
      <c r="F409" s="28"/>
      <c r="G409" s="28"/>
      <c r="H409" s="28"/>
      <c r="I409" s="28">
        <f t="shared" si="685"/>
        <v>-4000</v>
      </c>
      <c r="J409" s="28"/>
      <c r="K409" s="28"/>
    </row>
    <row r="410" spans="1:11" s="19" customFormat="1" ht="40.799999999999997">
      <c r="A410" s="16" t="s">
        <v>252</v>
      </c>
      <c r="B410" s="17" t="s">
        <v>253</v>
      </c>
      <c r="C410" s="18">
        <f>SUM(C411)</f>
        <v>37500</v>
      </c>
      <c r="D410" s="18">
        <f t="shared" ref="D410:K410" si="686">SUM(D411)</f>
        <v>92000</v>
      </c>
      <c r="E410" s="18">
        <f t="shared" si="686"/>
        <v>6279.65</v>
      </c>
      <c r="F410" s="18">
        <f t="shared" si="686"/>
        <v>0</v>
      </c>
      <c r="G410" s="18">
        <f t="shared" si="686"/>
        <v>0</v>
      </c>
      <c r="H410" s="18">
        <f t="shared" si="686"/>
        <v>0</v>
      </c>
      <c r="I410" s="18">
        <f t="shared" si="686"/>
        <v>-92000</v>
      </c>
      <c r="J410" s="18">
        <f t="shared" si="686"/>
        <v>0</v>
      </c>
      <c r="K410" s="18">
        <f t="shared" si="686"/>
        <v>0</v>
      </c>
    </row>
    <row r="411" spans="1:11" s="8" customFormat="1">
      <c r="A411" s="36" t="s">
        <v>196</v>
      </c>
      <c r="B411" s="37" t="s">
        <v>197</v>
      </c>
      <c r="C411" s="38">
        <f t="shared" ref="C411" si="687">SUM(C412,C414)</f>
        <v>37500</v>
      </c>
      <c r="D411" s="38">
        <f t="shared" ref="D411" si="688">SUM(D412,D414)</f>
        <v>92000</v>
      </c>
      <c r="E411" s="38">
        <f t="shared" ref="E411" si="689">SUM(E412,E414)</f>
        <v>6279.65</v>
      </c>
      <c r="F411" s="38">
        <f t="shared" ref="F411" si="690">SUM(F412,F414)</f>
        <v>0</v>
      </c>
      <c r="G411" s="38">
        <f t="shared" ref="G411" si="691">SUM(G412,G414)</f>
        <v>0</v>
      </c>
      <c r="H411" s="38">
        <f t="shared" ref="H411" si="692">SUM(H412,H414)</f>
        <v>0</v>
      </c>
      <c r="I411" s="38">
        <f t="shared" ref="I411" si="693">SUM(I412,I414)</f>
        <v>-92000</v>
      </c>
      <c r="J411" s="38">
        <f t="shared" ref="J411" si="694">SUM(J412,J414)</f>
        <v>0</v>
      </c>
      <c r="K411" s="38">
        <f t="shared" ref="K411" si="695">SUM(K412,K414)</f>
        <v>0</v>
      </c>
    </row>
    <row r="412" spans="1:11" s="8" customFormat="1">
      <c r="A412" s="30" t="s">
        <v>27</v>
      </c>
      <c r="B412" s="31" t="s">
        <v>28</v>
      </c>
      <c r="C412" s="33">
        <f t="shared" ref="C412" si="696">SUM(C413)</f>
        <v>8000</v>
      </c>
      <c r="D412" s="33">
        <f t="shared" ref="D412" si="697">SUM(D413)</f>
        <v>0</v>
      </c>
      <c r="E412" s="33">
        <f t="shared" ref="E412" si="698">SUM(E413)</f>
        <v>0</v>
      </c>
      <c r="F412" s="33">
        <f t="shared" ref="F412" si="699">SUM(F413)</f>
        <v>0</v>
      </c>
      <c r="G412" s="33">
        <f t="shared" ref="G412" si="700">SUM(G413)</f>
        <v>0</v>
      </c>
      <c r="H412" s="33">
        <f t="shared" ref="H412" si="701">SUM(H413)</f>
        <v>0</v>
      </c>
      <c r="I412" s="33">
        <f t="shared" ref="I412" si="702">SUM(I413)</f>
        <v>0</v>
      </c>
      <c r="J412" s="33">
        <f t="shared" ref="J412" si="703">SUM(J413)</f>
        <v>0</v>
      </c>
      <c r="K412" s="33">
        <f t="shared" ref="K412" si="704">SUM(K413)</f>
        <v>0</v>
      </c>
    </row>
    <row r="413" spans="1:11" s="8" customFormat="1">
      <c r="A413" s="27" t="s">
        <v>29</v>
      </c>
      <c r="B413" s="27" t="s">
        <v>30</v>
      </c>
      <c r="C413" s="28">
        <v>8000</v>
      </c>
      <c r="D413" s="28"/>
      <c r="E413" s="28"/>
      <c r="F413" s="28"/>
      <c r="G413" s="28"/>
      <c r="H413" s="28"/>
      <c r="I413" s="28">
        <f>H413-D413</f>
        <v>0</v>
      </c>
      <c r="J413" s="28"/>
      <c r="K413" s="28"/>
    </row>
    <row r="414" spans="1:11" s="8" customFormat="1">
      <c r="A414" s="30" t="s">
        <v>39</v>
      </c>
      <c r="B414" s="31" t="s">
        <v>40</v>
      </c>
      <c r="C414" s="33">
        <f t="shared" ref="C414" si="705">SUM(C415:C421)</f>
        <v>29500</v>
      </c>
      <c r="D414" s="33">
        <f t="shared" ref="D414" si="706">SUM(D415:D421)</f>
        <v>92000</v>
      </c>
      <c r="E414" s="33">
        <f t="shared" ref="E414" si="707">SUM(E415:E421)</f>
        <v>6279.65</v>
      </c>
      <c r="F414" s="33">
        <f t="shared" ref="F414" si="708">SUM(F415:F421)</f>
        <v>0</v>
      </c>
      <c r="G414" s="33">
        <f t="shared" ref="G414" si="709">SUM(G415:G421)</f>
        <v>0</v>
      </c>
      <c r="H414" s="33">
        <f t="shared" ref="H414" si="710">SUM(H415:H421)</f>
        <v>0</v>
      </c>
      <c r="I414" s="33">
        <f t="shared" ref="I414" si="711">SUM(I415:I421)</f>
        <v>-92000</v>
      </c>
      <c r="J414" s="33">
        <f t="shared" ref="J414" si="712">SUM(J415:J421)</f>
        <v>0</v>
      </c>
      <c r="K414" s="33">
        <f t="shared" ref="K414" si="713">SUM(K415:K421)</f>
        <v>0</v>
      </c>
    </row>
    <row r="415" spans="1:11" s="8" customFormat="1">
      <c r="A415" s="27" t="s">
        <v>41</v>
      </c>
      <c r="B415" s="27" t="s">
        <v>42</v>
      </c>
      <c r="C415" s="28">
        <v>7000</v>
      </c>
      <c r="D415" s="28">
        <v>7000</v>
      </c>
      <c r="E415" s="29">
        <v>163.61000000000001</v>
      </c>
      <c r="F415" s="28"/>
      <c r="G415" s="28"/>
      <c r="H415" s="28"/>
      <c r="I415" s="28">
        <f t="shared" ref="I415:I421" si="714">H415-D415</f>
        <v>-7000</v>
      </c>
      <c r="J415" s="28"/>
      <c r="K415" s="28"/>
    </row>
    <row r="416" spans="1:11" s="8" customFormat="1">
      <c r="A416" s="27" t="s">
        <v>53</v>
      </c>
      <c r="B416" s="27" t="s">
        <v>54</v>
      </c>
      <c r="C416" s="28">
        <v>2000</v>
      </c>
      <c r="D416" s="28">
        <v>2000</v>
      </c>
      <c r="E416" s="28"/>
      <c r="F416" s="28"/>
      <c r="G416" s="28"/>
      <c r="H416" s="28"/>
      <c r="I416" s="28">
        <f t="shared" si="714"/>
        <v>-2000</v>
      </c>
      <c r="J416" s="28"/>
      <c r="K416" s="28"/>
    </row>
    <row r="417" spans="1:11" s="8" customFormat="1">
      <c r="A417" s="27" t="s">
        <v>65</v>
      </c>
      <c r="B417" s="27" t="s">
        <v>66</v>
      </c>
      <c r="C417" s="28">
        <v>9000</v>
      </c>
      <c r="D417" s="28">
        <v>28000</v>
      </c>
      <c r="E417" s="28"/>
      <c r="F417" s="28"/>
      <c r="G417" s="28"/>
      <c r="H417" s="28"/>
      <c r="I417" s="28">
        <f t="shared" si="714"/>
        <v>-28000</v>
      </c>
      <c r="J417" s="28"/>
      <c r="K417" s="28"/>
    </row>
    <row r="418" spans="1:11" s="8" customFormat="1">
      <c r="A418" s="27" t="s">
        <v>69</v>
      </c>
      <c r="B418" s="27" t="s">
        <v>70</v>
      </c>
      <c r="C418" s="28">
        <v>2000</v>
      </c>
      <c r="D418" s="28">
        <v>2000</v>
      </c>
      <c r="E418" s="28"/>
      <c r="F418" s="28"/>
      <c r="G418" s="28"/>
      <c r="H418" s="28"/>
      <c r="I418" s="28">
        <f t="shared" si="714"/>
        <v>-2000</v>
      </c>
      <c r="J418" s="28"/>
      <c r="K418" s="28"/>
    </row>
    <row r="419" spans="1:11" s="8" customFormat="1">
      <c r="A419" s="27" t="s">
        <v>73</v>
      </c>
      <c r="B419" s="27" t="s">
        <v>74</v>
      </c>
      <c r="C419" s="28">
        <v>7000</v>
      </c>
      <c r="D419" s="28">
        <v>15000</v>
      </c>
      <c r="E419" s="29">
        <v>4636.24</v>
      </c>
      <c r="F419" s="28"/>
      <c r="G419" s="28"/>
      <c r="H419" s="28"/>
      <c r="I419" s="28">
        <f t="shared" si="714"/>
        <v>-15000</v>
      </c>
      <c r="J419" s="28"/>
      <c r="K419" s="28"/>
    </row>
    <row r="420" spans="1:11" s="8" customFormat="1">
      <c r="A420" s="27" t="s">
        <v>75</v>
      </c>
      <c r="B420" s="27" t="s">
        <v>76</v>
      </c>
      <c r="C420" s="28"/>
      <c r="D420" s="28">
        <v>35500</v>
      </c>
      <c r="E420" s="29">
        <v>1479.8</v>
      </c>
      <c r="F420" s="28"/>
      <c r="G420" s="28"/>
      <c r="H420" s="28"/>
      <c r="I420" s="28">
        <f t="shared" si="714"/>
        <v>-35500</v>
      </c>
      <c r="J420" s="28"/>
      <c r="K420" s="28"/>
    </row>
    <row r="421" spans="1:11" s="8" customFormat="1">
      <c r="A421" s="27" t="s">
        <v>84</v>
      </c>
      <c r="B421" s="27" t="s">
        <v>85</v>
      </c>
      <c r="C421" s="28">
        <v>2500</v>
      </c>
      <c r="D421" s="28">
        <v>2500</v>
      </c>
      <c r="E421" s="28"/>
      <c r="F421" s="28"/>
      <c r="G421" s="28"/>
      <c r="H421" s="28"/>
      <c r="I421" s="28">
        <f t="shared" si="714"/>
        <v>-2500</v>
      </c>
      <c r="J421" s="28"/>
      <c r="K421" s="28"/>
    </row>
    <row r="422" spans="1:11" s="19" customFormat="1" ht="20.399999999999999">
      <c r="A422" s="16" t="s">
        <v>256</v>
      </c>
      <c r="B422" s="17" t="s">
        <v>257</v>
      </c>
      <c r="C422" s="18">
        <f>SUM(C423)</f>
        <v>0</v>
      </c>
      <c r="D422" s="18">
        <f t="shared" ref="D422:K422" si="715">SUM(D423)</f>
        <v>7500</v>
      </c>
      <c r="E422" s="18">
        <f t="shared" si="715"/>
        <v>381.80999999999995</v>
      </c>
      <c r="F422" s="18">
        <f t="shared" si="715"/>
        <v>0</v>
      </c>
      <c r="G422" s="18">
        <f t="shared" si="715"/>
        <v>0</v>
      </c>
      <c r="H422" s="18">
        <f t="shared" si="715"/>
        <v>4000</v>
      </c>
      <c r="I422" s="18">
        <f t="shared" si="715"/>
        <v>-3500</v>
      </c>
      <c r="J422" s="18">
        <f t="shared" si="715"/>
        <v>7000</v>
      </c>
      <c r="K422" s="18">
        <f t="shared" si="715"/>
        <v>0</v>
      </c>
    </row>
    <row r="423" spans="1:11" s="8" customFormat="1">
      <c r="A423" s="36" t="s">
        <v>196</v>
      </c>
      <c r="B423" s="37" t="s">
        <v>197</v>
      </c>
      <c r="C423" s="38">
        <f t="shared" ref="C423" si="716">SUM(C426,C424)</f>
        <v>0</v>
      </c>
      <c r="D423" s="38">
        <f t="shared" ref="D423" si="717">SUM(D426,D424)</f>
        <v>7500</v>
      </c>
      <c r="E423" s="38">
        <f t="shared" ref="E423" si="718">SUM(E426,E424)</f>
        <v>381.80999999999995</v>
      </c>
      <c r="F423" s="38">
        <f t="shared" ref="F423" si="719">SUM(F426,F424)</f>
        <v>0</v>
      </c>
      <c r="G423" s="38">
        <f t="shared" ref="G423" si="720">SUM(G426,G424)</f>
        <v>0</v>
      </c>
      <c r="H423" s="38">
        <f t="shared" ref="H423" si="721">SUM(H426,H424)</f>
        <v>4000</v>
      </c>
      <c r="I423" s="38">
        <f t="shared" ref="I423" si="722">SUM(I426,I424)</f>
        <v>-3500</v>
      </c>
      <c r="J423" s="38">
        <f t="shared" ref="J423" si="723">SUM(J426,J424)</f>
        <v>7000</v>
      </c>
      <c r="K423" s="38">
        <f t="shared" ref="K423" si="724">SUM(K426,K424)</f>
        <v>0</v>
      </c>
    </row>
    <row r="424" spans="1:11" s="8" customFormat="1">
      <c r="A424" s="30" t="s">
        <v>27</v>
      </c>
      <c r="B424" s="31" t="s">
        <v>28</v>
      </c>
      <c r="C424" s="33">
        <f t="shared" ref="C424" si="725">SUM(C425)</f>
        <v>0</v>
      </c>
      <c r="D424" s="33">
        <f t="shared" ref="D424" si="726">SUM(D425)</f>
        <v>5000</v>
      </c>
      <c r="E424" s="33">
        <f t="shared" ref="E424" si="727">SUM(E425)</f>
        <v>0</v>
      </c>
      <c r="F424" s="33">
        <f t="shared" ref="F424" si="728">SUM(F425)</f>
        <v>0</v>
      </c>
      <c r="G424" s="33">
        <f t="shared" ref="G424" si="729">SUM(G425)</f>
        <v>0</v>
      </c>
      <c r="H424" s="33">
        <f t="shared" ref="H424" si="730">SUM(H425)</f>
        <v>4000</v>
      </c>
      <c r="I424" s="33">
        <f t="shared" ref="I424" si="731">SUM(I425)</f>
        <v>-1000</v>
      </c>
      <c r="J424" s="33">
        <f t="shared" ref="J424" si="732">SUM(J425)</f>
        <v>3000</v>
      </c>
      <c r="K424" s="33">
        <f t="shared" ref="K424" si="733">SUM(K425)</f>
        <v>0</v>
      </c>
    </row>
    <row r="425" spans="1:11" s="8" customFormat="1">
      <c r="A425" s="27" t="s">
        <v>29</v>
      </c>
      <c r="B425" s="27" t="s">
        <v>30</v>
      </c>
      <c r="C425" s="28"/>
      <c r="D425" s="28">
        <v>5000</v>
      </c>
      <c r="E425" s="28"/>
      <c r="F425" s="28"/>
      <c r="G425" s="28"/>
      <c r="H425" s="28">
        <v>4000</v>
      </c>
      <c r="I425" s="28">
        <f>H425-D425</f>
        <v>-1000</v>
      </c>
      <c r="J425" s="28">
        <v>3000</v>
      </c>
      <c r="K425" s="28"/>
    </row>
    <row r="426" spans="1:11" s="8" customFormat="1">
      <c r="A426" s="30" t="s">
        <v>39</v>
      </c>
      <c r="B426" s="31" t="s">
        <v>40</v>
      </c>
      <c r="C426" s="33">
        <f t="shared" ref="C426" si="734">SUM(C427:C431)</f>
        <v>0</v>
      </c>
      <c r="D426" s="33">
        <f t="shared" ref="D426" si="735">SUM(D427:D431)</f>
        <v>2500</v>
      </c>
      <c r="E426" s="33">
        <f t="shared" ref="E426" si="736">SUM(E427:E431)</f>
        <v>381.80999999999995</v>
      </c>
      <c r="F426" s="33">
        <f t="shared" ref="F426" si="737">SUM(F427:F431)</f>
        <v>0</v>
      </c>
      <c r="G426" s="33">
        <f t="shared" ref="G426" si="738">SUM(G427:G431)</f>
        <v>0</v>
      </c>
      <c r="H426" s="33">
        <f t="shared" ref="H426" si="739">SUM(H427:H431)</f>
        <v>0</v>
      </c>
      <c r="I426" s="33">
        <f t="shared" ref="I426" si="740">SUM(I427:I431)</f>
        <v>-2500</v>
      </c>
      <c r="J426" s="33">
        <f t="shared" ref="J426" si="741">SUM(J427:J431)</f>
        <v>4000</v>
      </c>
      <c r="K426" s="33">
        <f t="shared" ref="K426" si="742">SUM(K427:K431)</f>
        <v>0</v>
      </c>
    </row>
    <row r="427" spans="1:11" s="8" customFormat="1">
      <c r="A427" s="27" t="s">
        <v>41</v>
      </c>
      <c r="B427" s="27" t="s">
        <v>42</v>
      </c>
      <c r="C427" s="28"/>
      <c r="D427" s="28">
        <v>500</v>
      </c>
      <c r="E427" s="29">
        <v>50.97</v>
      </c>
      <c r="F427" s="28"/>
      <c r="G427" s="28"/>
      <c r="H427" s="28"/>
      <c r="I427" s="28">
        <f>H427-D427</f>
        <v>-500</v>
      </c>
      <c r="J427" s="28"/>
      <c r="K427" s="28"/>
    </row>
    <row r="428" spans="1:11" s="8" customFormat="1">
      <c r="A428" s="27">
        <v>3233</v>
      </c>
      <c r="B428" s="27" t="s">
        <v>66</v>
      </c>
      <c r="C428" s="28"/>
      <c r="D428" s="28"/>
      <c r="E428" s="29"/>
      <c r="F428" s="28"/>
      <c r="G428" s="28"/>
      <c r="H428" s="28"/>
      <c r="I428" s="28"/>
      <c r="J428" s="28">
        <v>1000</v>
      </c>
      <c r="K428" s="28"/>
    </row>
    <row r="429" spans="1:11" s="8" customFormat="1">
      <c r="A429" s="27" t="s">
        <v>69</v>
      </c>
      <c r="B429" s="27" t="s">
        <v>70</v>
      </c>
      <c r="C429" s="28"/>
      <c r="D429" s="28">
        <v>500</v>
      </c>
      <c r="E429" s="28"/>
      <c r="F429" s="28"/>
      <c r="G429" s="28"/>
      <c r="H429" s="28"/>
      <c r="I429" s="28">
        <f>H429-D429</f>
        <v>-500</v>
      </c>
      <c r="J429" s="28">
        <v>2000</v>
      </c>
      <c r="K429" s="28"/>
    </row>
    <row r="430" spans="1:11" s="8" customFormat="1">
      <c r="A430" s="27" t="s">
        <v>73</v>
      </c>
      <c r="B430" s="27" t="s">
        <v>74</v>
      </c>
      <c r="C430" s="28"/>
      <c r="D430" s="28">
        <v>500</v>
      </c>
      <c r="E430" s="28"/>
      <c r="F430" s="28"/>
      <c r="G430" s="28"/>
      <c r="H430" s="28"/>
      <c r="I430" s="28">
        <f>H430-D430</f>
        <v>-500</v>
      </c>
      <c r="J430" s="28">
        <v>1000</v>
      </c>
      <c r="K430" s="28"/>
    </row>
    <row r="431" spans="1:11" s="8" customFormat="1">
      <c r="A431" s="27" t="s">
        <v>75</v>
      </c>
      <c r="B431" s="27" t="s">
        <v>76</v>
      </c>
      <c r="C431" s="28"/>
      <c r="D431" s="28">
        <v>1000</v>
      </c>
      <c r="E431" s="29">
        <v>330.84</v>
      </c>
      <c r="F431" s="28"/>
      <c r="G431" s="28"/>
      <c r="H431" s="28"/>
      <c r="I431" s="28">
        <f>H431-D431</f>
        <v>-1000</v>
      </c>
      <c r="J431" s="28"/>
      <c r="K431" s="28"/>
    </row>
    <row r="432" spans="1:11" s="19" customFormat="1" ht="30.6">
      <c r="A432" s="16" t="s">
        <v>262</v>
      </c>
      <c r="B432" s="17" t="s">
        <v>263</v>
      </c>
      <c r="C432" s="18">
        <f>SUM(C433)</f>
        <v>37500</v>
      </c>
      <c r="D432" s="18">
        <f t="shared" ref="D432:K432" si="743">SUM(D433)</f>
        <v>37500</v>
      </c>
      <c r="E432" s="18">
        <f t="shared" si="743"/>
        <v>180</v>
      </c>
      <c r="F432" s="18">
        <f t="shared" si="743"/>
        <v>89000</v>
      </c>
      <c r="G432" s="18">
        <f t="shared" si="743"/>
        <v>0</v>
      </c>
      <c r="H432" s="18">
        <f t="shared" si="743"/>
        <v>108000</v>
      </c>
      <c r="I432" s="18">
        <f t="shared" si="743"/>
        <v>70500</v>
      </c>
      <c r="J432" s="18">
        <f t="shared" si="743"/>
        <v>0</v>
      </c>
      <c r="K432" s="18">
        <f t="shared" si="743"/>
        <v>0</v>
      </c>
    </row>
    <row r="433" spans="1:11" s="8" customFormat="1">
      <c r="A433" s="36" t="s">
        <v>196</v>
      </c>
      <c r="B433" s="37" t="s">
        <v>197</v>
      </c>
      <c r="C433" s="38">
        <f t="shared" ref="C433" si="744">SUM(C442,C436,C434)</f>
        <v>37500</v>
      </c>
      <c r="D433" s="38">
        <f t="shared" ref="D433" si="745">SUM(D442,D436,D434)</f>
        <v>37500</v>
      </c>
      <c r="E433" s="38">
        <f t="shared" ref="E433" si="746">SUM(E442,E436,E434)</f>
        <v>180</v>
      </c>
      <c r="F433" s="38">
        <f t="shared" ref="F433" si="747">SUM(F442,F436,F434)</f>
        <v>89000</v>
      </c>
      <c r="G433" s="38">
        <f t="shared" ref="G433" si="748">SUM(G442,G436,G434)</f>
        <v>0</v>
      </c>
      <c r="H433" s="38">
        <f t="shared" ref="H433" si="749">SUM(H442,H436,H434)</f>
        <v>108000</v>
      </c>
      <c r="I433" s="38">
        <f t="shared" ref="I433" si="750">SUM(I442,I436,I434)</f>
        <v>70500</v>
      </c>
      <c r="J433" s="38">
        <f t="shared" ref="J433" si="751">SUM(J442,J436,J434)</f>
        <v>0</v>
      </c>
      <c r="K433" s="38">
        <f t="shared" ref="K433" si="752">SUM(K442,K436,K434)</f>
        <v>0</v>
      </c>
    </row>
    <row r="434" spans="1:11" s="8" customFormat="1">
      <c r="A434" s="30" t="s">
        <v>27</v>
      </c>
      <c r="B434" s="31" t="s">
        <v>28</v>
      </c>
      <c r="C434" s="33">
        <f t="shared" ref="C434" si="753">SUM(C435)</f>
        <v>7000</v>
      </c>
      <c r="D434" s="33">
        <f t="shared" ref="D434" si="754">SUM(D435)</f>
        <v>7000</v>
      </c>
      <c r="E434" s="33">
        <f t="shared" ref="E434" si="755">SUM(E435)</f>
        <v>145.94999999999999</v>
      </c>
      <c r="F434" s="33">
        <f t="shared" ref="F434" si="756">SUM(F435)</f>
        <v>7000</v>
      </c>
      <c r="G434" s="33">
        <f t="shared" ref="G434" si="757">SUM(G435)</f>
        <v>0</v>
      </c>
      <c r="H434" s="33">
        <f t="shared" ref="H434" si="758">SUM(H435)</f>
        <v>7000</v>
      </c>
      <c r="I434" s="33">
        <f t="shared" ref="I434" si="759">SUM(I435)</f>
        <v>0</v>
      </c>
      <c r="J434" s="33">
        <f t="shared" ref="J434" si="760">SUM(J435)</f>
        <v>0</v>
      </c>
      <c r="K434" s="33">
        <f t="shared" ref="K434" si="761">SUM(K435)</f>
        <v>0</v>
      </c>
    </row>
    <row r="435" spans="1:11" s="8" customFormat="1">
      <c r="A435" s="27" t="s">
        <v>29</v>
      </c>
      <c r="B435" s="27" t="s">
        <v>30</v>
      </c>
      <c r="C435" s="28">
        <v>7000</v>
      </c>
      <c r="D435" s="28">
        <v>7000</v>
      </c>
      <c r="E435" s="29">
        <v>145.94999999999999</v>
      </c>
      <c r="F435" s="28">
        <v>7000</v>
      </c>
      <c r="G435" s="28"/>
      <c r="H435" s="28">
        <v>7000</v>
      </c>
      <c r="I435" s="28">
        <f>H435-D435</f>
        <v>0</v>
      </c>
      <c r="J435" s="28"/>
      <c r="K435" s="28"/>
    </row>
    <row r="436" spans="1:11" s="8" customFormat="1">
      <c r="A436" s="30" t="s">
        <v>39</v>
      </c>
      <c r="B436" s="31" t="s">
        <v>40</v>
      </c>
      <c r="C436" s="33">
        <f t="shared" ref="C436" si="762">SUM(C437:C441)</f>
        <v>17000</v>
      </c>
      <c r="D436" s="33">
        <f t="shared" ref="D436" si="763">SUM(D437:D441)</f>
        <v>17000</v>
      </c>
      <c r="E436" s="33">
        <f t="shared" ref="E436" si="764">SUM(E437:E441)</f>
        <v>34.049999999999997</v>
      </c>
      <c r="F436" s="33">
        <f t="shared" ref="F436" si="765">SUM(F437:F441)</f>
        <v>28000</v>
      </c>
      <c r="G436" s="33">
        <f t="shared" ref="G436" si="766">SUM(G437:G441)</f>
        <v>0</v>
      </c>
      <c r="H436" s="33">
        <f t="shared" ref="H436" si="767">SUM(H437:H441)</f>
        <v>34000</v>
      </c>
      <c r="I436" s="33">
        <f t="shared" ref="I436" si="768">SUM(I437:I441)</f>
        <v>17000</v>
      </c>
      <c r="J436" s="33">
        <f t="shared" ref="J436" si="769">SUM(J437:J441)</f>
        <v>0</v>
      </c>
      <c r="K436" s="33">
        <f t="shared" ref="K436" si="770">SUM(K437:K441)</f>
        <v>0</v>
      </c>
    </row>
    <row r="437" spans="1:11" s="8" customFormat="1">
      <c r="A437" s="27" t="s">
        <v>41</v>
      </c>
      <c r="B437" s="27" t="s">
        <v>42</v>
      </c>
      <c r="C437" s="28">
        <v>1500</v>
      </c>
      <c r="D437" s="28">
        <v>1500</v>
      </c>
      <c r="E437" s="29">
        <v>34.049999999999997</v>
      </c>
      <c r="F437" s="28">
        <v>1500</v>
      </c>
      <c r="G437" s="28"/>
      <c r="H437" s="28">
        <v>3000</v>
      </c>
      <c r="I437" s="28">
        <f>H437-D437</f>
        <v>1500</v>
      </c>
      <c r="J437" s="28"/>
      <c r="K437" s="28"/>
    </row>
    <row r="438" spans="1:11" s="8" customFormat="1">
      <c r="A438" s="27" t="s">
        <v>69</v>
      </c>
      <c r="B438" s="27" t="s">
        <v>70</v>
      </c>
      <c r="C438" s="28">
        <v>1000</v>
      </c>
      <c r="D438" s="28">
        <v>1000</v>
      </c>
      <c r="E438" s="28"/>
      <c r="F438" s="28">
        <v>1000</v>
      </c>
      <c r="G438" s="28"/>
      <c r="H438" s="28">
        <v>1500</v>
      </c>
      <c r="I438" s="28">
        <f>H438-D438</f>
        <v>500</v>
      </c>
      <c r="J438" s="28"/>
      <c r="K438" s="28"/>
    </row>
    <row r="439" spans="1:11" s="8" customFormat="1">
      <c r="A439" s="27" t="s">
        <v>73</v>
      </c>
      <c r="B439" s="27" t="s">
        <v>74</v>
      </c>
      <c r="C439" s="28">
        <v>7000</v>
      </c>
      <c r="D439" s="28">
        <v>7000</v>
      </c>
      <c r="E439" s="28"/>
      <c r="F439" s="28">
        <v>17000</v>
      </c>
      <c r="G439" s="28"/>
      <c r="H439" s="28">
        <v>21000</v>
      </c>
      <c r="I439" s="28">
        <f>H439-D439</f>
        <v>14000</v>
      </c>
      <c r="J439" s="28"/>
      <c r="K439" s="28"/>
    </row>
    <row r="440" spans="1:11" s="8" customFormat="1">
      <c r="A440" s="27" t="s">
        <v>75</v>
      </c>
      <c r="B440" s="27" t="s">
        <v>76</v>
      </c>
      <c r="C440" s="28">
        <v>7000</v>
      </c>
      <c r="D440" s="28">
        <v>7000</v>
      </c>
      <c r="E440" s="28"/>
      <c r="F440" s="28">
        <v>8000</v>
      </c>
      <c r="G440" s="28"/>
      <c r="H440" s="28">
        <v>8000</v>
      </c>
      <c r="I440" s="28">
        <f>H440-D440</f>
        <v>1000</v>
      </c>
      <c r="J440" s="28"/>
      <c r="K440" s="28"/>
    </row>
    <row r="441" spans="1:11" s="8" customFormat="1">
      <c r="A441" s="27" t="s">
        <v>78</v>
      </c>
      <c r="B441" s="27" t="s">
        <v>77</v>
      </c>
      <c r="C441" s="28">
        <v>500</v>
      </c>
      <c r="D441" s="28">
        <v>500</v>
      </c>
      <c r="E441" s="28"/>
      <c r="F441" s="28">
        <v>500</v>
      </c>
      <c r="G441" s="28"/>
      <c r="H441" s="28">
        <v>500</v>
      </c>
      <c r="I441" s="28">
        <f>H441-D441</f>
        <v>0</v>
      </c>
      <c r="J441" s="28"/>
      <c r="K441" s="28"/>
    </row>
    <row r="442" spans="1:11" s="8" customFormat="1" ht="20.399999999999999">
      <c r="A442" s="30" t="s">
        <v>134</v>
      </c>
      <c r="B442" s="31" t="s">
        <v>135</v>
      </c>
      <c r="C442" s="33">
        <f t="shared" ref="C442" si="771">SUM(C443)</f>
        <v>13500</v>
      </c>
      <c r="D442" s="33">
        <f t="shared" ref="D442" si="772">SUM(D443)</f>
        <v>13500</v>
      </c>
      <c r="E442" s="33">
        <f t="shared" ref="E442" si="773">SUM(E443)</f>
        <v>0</v>
      </c>
      <c r="F442" s="33">
        <f t="shared" ref="F442" si="774">SUM(F443)</f>
        <v>54000</v>
      </c>
      <c r="G442" s="33">
        <f t="shared" ref="G442" si="775">SUM(G443)</f>
        <v>0</v>
      </c>
      <c r="H442" s="33">
        <f t="shared" ref="H442" si="776">SUM(H443)</f>
        <v>67000</v>
      </c>
      <c r="I442" s="33">
        <f t="shared" ref="I442" si="777">SUM(I443)</f>
        <v>53500</v>
      </c>
      <c r="J442" s="33">
        <f t="shared" ref="J442" si="778">SUM(J443)</f>
        <v>0</v>
      </c>
      <c r="K442" s="33">
        <f t="shared" ref="K442" si="779">SUM(K443)</f>
        <v>0</v>
      </c>
    </row>
    <row r="443" spans="1:11" s="8" customFormat="1">
      <c r="A443" s="27" t="s">
        <v>137</v>
      </c>
      <c r="B443" s="27" t="s">
        <v>136</v>
      </c>
      <c r="C443" s="28">
        <v>13500</v>
      </c>
      <c r="D443" s="28">
        <v>13500</v>
      </c>
      <c r="E443" s="28"/>
      <c r="F443" s="28">
        <v>54000</v>
      </c>
      <c r="G443" s="28"/>
      <c r="H443" s="28">
        <v>67000</v>
      </c>
      <c r="I443" s="28">
        <f>H443-D443</f>
        <v>53500</v>
      </c>
      <c r="J443" s="28"/>
      <c r="K443" s="28"/>
    </row>
    <row r="444" spans="1:11" s="19" customFormat="1" ht="20.399999999999999">
      <c r="A444" s="16" t="s">
        <v>264</v>
      </c>
      <c r="B444" s="17" t="s">
        <v>265</v>
      </c>
      <c r="C444" s="18">
        <f>SUM(C445)</f>
        <v>0</v>
      </c>
      <c r="D444" s="18">
        <f t="shared" ref="D444:K444" si="780">SUM(D445)</f>
        <v>8500</v>
      </c>
      <c r="E444" s="18">
        <f t="shared" si="780"/>
        <v>7344.58</v>
      </c>
      <c r="F444" s="18">
        <f t="shared" si="780"/>
        <v>0</v>
      </c>
      <c r="G444" s="18">
        <f t="shared" si="780"/>
        <v>0</v>
      </c>
      <c r="H444" s="18">
        <f t="shared" si="780"/>
        <v>0</v>
      </c>
      <c r="I444" s="18">
        <f t="shared" si="780"/>
        <v>-8500</v>
      </c>
      <c r="J444" s="18">
        <f t="shared" si="780"/>
        <v>0</v>
      </c>
      <c r="K444" s="18">
        <f t="shared" si="780"/>
        <v>0</v>
      </c>
    </row>
    <row r="445" spans="1:11" s="8" customFormat="1">
      <c r="A445" s="36" t="s">
        <v>196</v>
      </c>
      <c r="B445" s="37" t="s">
        <v>197</v>
      </c>
      <c r="C445" s="38">
        <f t="shared" ref="C445" si="781">SUM(C446)</f>
        <v>0</v>
      </c>
      <c r="D445" s="38">
        <f t="shared" ref="D445" si="782">SUM(D446)</f>
        <v>8500</v>
      </c>
      <c r="E445" s="38">
        <f t="shared" ref="E445" si="783">SUM(E446)</f>
        <v>7344.58</v>
      </c>
      <c r="F445" s="38">
        <f t="shared" ref="F445" si="784">SUM(F446)</f>
        <v>0</v>
      </c>
      <c r="G445" s="38">
        <f t="shared" ref="G445" si="785">SUM(G446)</f>
        <v>0</v>
      </c>
      <c r="H445" s="38">
        <f t="shared" ref="H445" si="786">SUM(H446)</f>
        <v>0</v>
      </c>
      <c r="I445" s="38">
        <f t="shared" ref="I445" si="787">SUM(I446)</f>
        <v>-8500</v>
      </c>
      <c r="J445" s="38">
        <f t="shared" ref="J445" si="788">SUM(J446)</f>
        <v>0</v>
      </c>
      <c r="K445" s="38">
        <f t="shared" ref="K445" si="789">SUM(K446)</f>
        <v>0</v>
      </c>
    </row>
    <row r="446" spans="1:11" s="8" customFormat="1">
      <c r="A446" s="30" t="s">
        <v>39</v>
      </c>
      <c r="B446" s="31" t="s">
        <v>40</v>
      </c>
      <c r="C446" s="33">
        <f t="shared" ref="C446" si="790">SUM(C447:C454)</f>
        <v>0</v>
      </c>
      <c r="D446" s="33">
        <f t="shared" ref="D446" si="791">SUM(D447:D454)</f>
        <v>8500</v>
      </c>
      <c r="E446" s="33">
        <f t="shared" ref="E446" si="792">SUM(E447:E454)</f>
        <v>7344.58</v>
      </c>
      <c r="F446" s="33">
        <f t="shared" ref="F446" si="793">SUM(F447:F454)</f>
        <v>0</v>
      </c>
      <c r="G446" s="33">
        <f t="shared" ref="G446" si="794">SUM(G447:G454)</f>
        <v>0</v>
      </c>
      <c r="H446" s="33">
        <f t="shared" ref="H446" si="795">SUM(H447:H454)</f>
        <v>0</v>
      </c>
      <c r="I446" s="33">
        <f t="shared" ref="I446" si="796">SUM(I447:I454)</f>
        <v>-8500</v>
      </c>
      <c r="J446" s="33">
        <f t="shared" ref="J446" si="797">SUM(J447:J454)</f>
        <v>0</v>
      </c>
      <c r="K446" s="33">
        <f t="shared" ref="K446" si="798">SUM(K447:K454)</f>
        <v>0</v>
      </c>
    </row>
    <row r="447" spans="1:11" s="8" customFormat="1">
      <c r="A447" s="27" t="s">
        <v>41</v>
      </c>
      <c r="B447" s="27" t="s">
        <v>42</v>
      </c>
      <c r="C447" s="28"/>
      <c r="D447" s="28">
        <v>1000</v>
      </c>
      <c r="E447" s="29">
        <v>763.68</v>
      </c>
      <c r="F447" s="28"/>
      <c r="G447" s="28"/>
      <c r="H447" s="28"/>
      <c r="I447" s="28">
        <f t="shared" ref="I447:I454" si="799">H447-D447</f>
        <v>-1000</v>
      </c>
      <c r="J447" s="28"/>
      <c r="K447" s="28"/>
    </row>
    <row r="448" spans="1:11" s="8" customFormat="1">
      <c r="A448" s="27" t="s">
        <v>45</v>
      </c>
      <c r="B448" s="27" t="s">
        <v>46</v>
      </c>
      <c r="C448" s="28"/>
      <c r="D448" s="28"/>
      <c r="E448" s="28"/>
      <c r="F448" s="28"/>
      <c r="G448" s="28"/>
      <c r="H448" s="28"/>
      <c r="I448" s="28">
        <f t="shared" si="799"/>
        <v>0</v>
      </c>
      <c r="J448" s="28"/>
      <c r="K448" s="28"/>
    </row>
    <row r="449" spans="1:11" s="8" customFormat="1">
      <c r="A449" s="27" t="s">
        <v>51</v>
      </c>
      <c r="B449" s="27" t="s">
        <v>52</v>
      </c>
      <c r="C449" s="28"/>
      <c r="D449" s="28">
        <v>500</v>
      </c>
      <c r="E449" s="29">
        <v>33.21</v>
      </c>
      <c r="F449" s="28"/>
      <c r="G449" s="28"/>
      <c r="H449" s="28"/>
      <c r="I449" s="28">
        <f t="shared" si="799"/>
        <v>-500</v>
      </c>
      <c r="J449" s="28"/>
      <c r="K449" s="28"/>
    </row>
    <row r="450" spans="1:11" s="8" customFormat="1">
      <c r="A450" s="27" t="s">
        <v>65</v>
      </c>
      <c r="B450" s="27" t="s">
        <v>66</v>
      </c>
      <c r="C450" s="28"/>
      <c r="D450" s="28">
        <v>2000</v>
      </c>
      <c r="E450" s="29">
        <v>1994.4</v>
      </c>
      <c r="F450" s="28"/>
      <c r="G450" s="28"/>
      <c r="H450" s="28"/>
      <c r="I450" s="28">
        <f t="shared" si="799"/>
        <v>-2000</v>
      </c>
      <c r="J450" s="28"/>
      <c r="K450" s="28"/>
    </row>
    <row r="451" spans="1:11" s="8" customFormat="1">
      <c r="A451" s="27" t="s">
        <v>69</v>
      </c>
      <c r="B451" s="27" t="s">
        <v>70</v>
      </c>
      <c r="C451" s="41">
        <v>0</v>
      </c>
      <c r="D451" s="28"/>
      <c r="E451" s="28"/>
      <c r="F451" s="28"/>
      <c r="G451" s="28"/>
      <c r="H451" s="28"/>
      <c r="I451" s="28">
        <f t="shared" si="799"/>
        <v>0</v>
      </c>
      <c r="J451" s="28"/>
      <c r="K451" s="28"/>
    </row>
    <row r="452" spans="1:11" s="8" customFormat="1">
      <c r="A452" s="27" t="s">
        <v>73</v>
      </c>
      <c r="B452" s="27" t="s">
        <v>74</v>
      </c>
      <c r="C452" s="41">
        <v>0</v>
      </c>
      <c r="D452" s="28">
        <v>500</v>
      </c>
      <c r="E452" s="29">
        <v>260</v>
      </c>
      <c r="F452" s="28"/>
      <c r="G452" s="28"/>
      <c r="H452" s="28"/>
      <c r="I452" s="28">
        <f t="shared" si="799"/>
        <v>-500</v>
      </c>
      <c r="J452" s="28"/>
      <c r="K452" s="28"/>
    </row>
    <row r="453" spans="1:11" s="8" customFormat="1">
      <c r="A453" s="27" t="s">
        <v>75</v>
      </c>
      <c r="B453" s="27" t="s">
        <v>76</v>
      </c>
      <c r="C453" s="41">
        <v>0</v>
      </c>
      <c r="D453" s="28">
        <v>4000</v>
      </c>
      <c r="E453" s="29">
        <v>3986.03</v>
      </c>
      <c r="F453" s="28"/>
      <c r="G453" s="28"/>
      <c r="H453" s="28"/>
      <c r="I453" s="28">
        <f t="shared" si="799"/>
        <v>-4000</v>
      </c>
      <c r="J453" s="28"/>
      <c r="K453" s="28"/>
    </row>
    <row r="454" spans="1:11" s="8" customFormat="1">
      <c r="A454" s="186" t="s">
        <v>78</v>
      </c>
      <c r="B454" s="186" t="s">
        <v>77</v>
      </c>
      <c r="C454" s="187"/>
      <c r="D454" s="187">
        <v>500</v>
      </c>
      <c r="E454" s="188">
        <v>307.26</v>
      </c>
      <c r="F454" s="187"/>
      <c r="G454" s="187"/>
      <c r="H454" s="187"/>
      <c r="I454" s="187">
        <f t="shared" si="799"/>
        <v>-500</v>
      </c>
      <c r="J454" s="187"/>
      <c r="K454" s="187"/>
    </row>
    <row r="455" spans="1:11" s="46" customFormat="1" ht="15.6" customHeight="1">
      <c r="A455" s="189">
        <v>4005</v>
      </c>
      <c r="B455" s="190" t="s">
        <v>14</v>
      </c>
      <c r="C455" s="190"/>
      <c r="D455" s="190"/>
      <c r="E455" s="190"/>
      <c r="F455" s="190"/>
      <c r="G455" s="190"/>
      <c r="H455" s="191">
        <f>H456+H457</f>
        <v>1288827450</v>
      </c>
      <c r="I455" s="191">
        <f t="shared" ref="I455:K455" si="800">I456+I457</f>
        <v>79864271</v>
      </c>
      <c r="J455" s="191">
        <f t="shared" si="800"/>
        <v>1247734950</v>
      </c>
      <c r="K455" s="191">
        <f t="shared" si="800"/>
        <v>1248985750</v>
      </c>
    </row>
    <row r="456" spans="1:11" s="46" customFormat="1" ht="15" hidden="1" customHeight="1">
      <c r="A456" s="173"/>
      <c r="B456" s="174" t="s">
        <v>330</v>
      </c>
      <c r="C456" s="175">
        <v>0</v>
      </c>
      <c r="D456" s="175">
        <v>15600000</v>
      </c>
      <c r="E456" s="176">
        <v>3388499.14</v>
      </c>
      <c r="F456" s="175"/>
      <c r="G456" s="175"/>
      <c r="H456" s="175"/>
      <c r="I456" s="175"/>
      <c r="J456" s="175"/>
      <c r="K456" s="175"/>
    </row>
    <row r="457" spans="1:11" s="46" customFormat="1" ht="15" customHeight="1">
      <c r="A457" s="173"/>
      <c r="B457" s="174" t="s">
        <v>282</v>
      </c>
      <c r="C457" s="175"/>
      <c r="D457" s="175"/>
      <c r="E457" s="176"/>
      <c r="F457" s="175"/>
      <c r="G457" s="175"/>
      <c r="H457" s="178">
        <f>SUM(H458,H459)</f>
        <v>1288827450</v>
      </c>
      <c r="I457" s="178">
        <f t="shared" ref="I457:K457" si="801">SUM(I458,I459)</f>
        <v>79864271</v>
      </c>
      <c r="J457" s="178">
        <f t="shared" si="801"/>
        <v>1247734950</v>
      </c>
      <c r="K457" s="178">
        <f t="shared" si="801"/>
        <v>1248985750</v>
      </c>
    </row>
    <row r="458" spans="1:11" s="50" customFormat="1" ht="16.2" customHeight="1">
      <c r="A458" s="177"/>
      <c r="B458" s="174" t="s">
        <v>283</v>
      </c>
      <c r="C458" s="178">
        <f t="shared" ref="C458:K458" si="802">SUM(C10,C15,C60,C83,C90,C122,C135,C139,C158,C167,C183,C190)</f>
        <v>1143752179</v>
      </c>
      <c r="D458" s="178">
        <f t="shared" si="802"/>
        <v>1189072179</v>
      </c>
      <c r="E458" s="178">
        <f t="shared" si="802"/>
        <v>460921230.56999993</v>
      </c>
      <c r="F458" s="178">
        <f t="shared" si="802"/>
        <v>1141652239</v>
      </c>
      <c r="G458" s="178">
        <f t="shared" si="802"/>
        <v>1134418841</v>
      </c>
      <c r="H458" s="178">
        <f t="shared" si="802"/>
        <v>1231827150</v>
      </c>
      <c r="I458" s="178">
        <f t="shared" si="802"/>
        <v>44754971</v>
      </c>
      <c r="J458" s="178">
        <f t="shared" si="802"/>
        <v>1219609750</v>
      </c>
      <c r="K458" s="178">
        <f t="shared" si="802"/>
        <v>1226269250</v>
      </c>
    </row>
    <row r="459" spans="1:11" s="50" customFormat="1" ht="15.6" customHeight="1">
      <c r="A459" s="177"/>
      <c r="B459" s="174" t="s">
        <v>284</v>
      </c>
      <c r="C459" s="178">
        <f t="shared" ref="C459:K459" si="803">SUM(C208,C234,C241,C253,C264,C273,C302,C326,C352,C360,C375,C379,C398,C411,C423,C433,C445,C204)</f>
        <v>60964000</v>
      </c>
      <c r="D459" s="178">
        <f>SUM(D208,D234,D241,D253,D264,D273,D302,D326,D352,D360,D375,D379,D398,D411,D423,D433,D445,D204)</f>
        <v>22428000</v>
      </c>
      <c r="E459" s="178">
        <f t="shared" si="803"/>
        <v>13441085.520000001</v>
      </c>
      <c r="F459" s="178">
        <f t="shared" si="803"/>
        <v>19648500</v>
      </c>
      <c r="G459" s="178">
        <f t="shared" si="803"/>
        <v>7016000</v>
      </c>
      <c r="H459" s="178">
        <f t="shared" si="803"/>
        <v>57000300</v>
      </c>
      <c r="I459" s="178">
        <f t="shared" si="803"/>
        <v>35109300</v>
      </c>
      <c r="J459" s="178">
        <f t="shared" si="803"/>
        <v>28125200</v>
      </c>
      <c r="K459" s="178">
        <f t="shared" si="803"/>
        <v>22716500</v>
      </c>
    </row>
    <row r="460" spans="1:11" s="50" customFormat="1" ht="19.5" hidden="1" customHeight="1">
      <c r="A460" s="54"/>
      <c r="B460" s="54" t="s">
        <v>266</v>
      </c>
      <c r="C460" s="55">
        <f>SUM(C458:C459)</f>
        <v>1204716179</v>
      </c>
      <c r="D460" s="55">
        <f t="shared" ref="D460:G460" si="804">SUM(D458:D459)</f>
        <v>1211500179</v>
      </c>
      <c r="E460" s="55">
        <f t="shared" si="804"/>
        <v>474362316.08999991</v>
      </c>
      <c r="F460" s="55">
        <f t="shared" si="804"/>
        <v>1161300739</v>
      </c>
      <c r="G460" s="55">
        <f t="shared" si="804"/>
        <v>1141434841</v>
      </c>
      <c r="H460" s="55">
        <f t="shared" ref="H460" si="805">SUM(H458:H459)</f>
        <v>1288827450</v>
      </c>
      <c r="I460" s="102">
        <f t="shared" ref="I460:K460" si="806">SUM(I458:I459)</f>
        <v>79864271</v>
      </c>
      <c r="J460" s="55">
        <f t="shared" ref="J460" si="807">SUM(J458:J459)</f>
        <v>1247734950</v>
      </c>
      <c r="K460" s="55">
        <f t="shared" si="806"/>
        <v>1248985750</v>
      </c>
    </row>
    <row r="461" spans="1:11" s="6" customFormat="1" ht="10.199999999999999">
      <c r="H461" s="7"/>
    </row>
    <row r="462" spans="1:11" s="6" customFormat="1" ht="10.199999999999999" hidden="1">
      <c r="H462" s="7"/>
    </row>
    <row r="463" spans="1:11" s="6" customFormat="1" ht="10.199999999999999" hidden="1">
      <c r="A463" s="105">
        <v>1</v>
      </c>
      <c r="B463" s="105" t="s">
        <v>18</v>
      </c>
      <c r="C463" s="106">
        <f>C460</f>
        <v>1204716179</v>
      </c>
      <c r="D463" s="106">
        <f t="shared" ref="D463:K463" si="808">D460</f>
        <v>1211500179</v>
      </c>
      <c r="E463" s="106">
        <f t="shared" si="808"/>
        <v>474362316.08999991</v>
      </c>
      <c r="F463" s="106">
        <f t="shared" si="808"/>
        <v>1161300739</v>
      </c>
      <c r="G463" s="106">
        <f t="shared" si="808"/>
        <v>1141434841</v>
      </c>
      <c r="H463" s="106">
        <f t="shared" si="808"/>
        <v>1288827450</v>
      </c>
      <c r="I463" s="106">
        <f t="shared" si="808"/>
        <v>79864271</v>
      </c>
      <c r="J463" s="106">
        <f t="shared" si="808"/>
        <v>1247734950</v>
      </c>
      <c r="K463" s="106">
        <f t="shared" si="808"/>
        <v>1248985750</v>
      </c>
    </row>
    <row r="464" spans="1:11" s="6" customFormat="1" ht="10.199999999999999" hidden="1">
      <c r="A464" s="107">
        <v>815</v>
      </c>
      <c r="B464" s="108" t="s">
        <v>279</v>
      </c>
      <c r="C464" s="109">
        <f>C456</f>
        <v>0</v>
      </c>
      <c r="D464" s="109">
        <f t="shared" ref="D464:K464" si="809">D456</f>
        <v>15600000</v>
      </c>
      <c r="E464" s="109">
        <f t="shared" si="809"/>
        <v>3388499.14</v>
      </c>
      <c r="F464" s="109">
        <f t="shared" si="809"/>
        <v>0</v>
      </c>
      <c r="G464" s="109">
        <f t="shared" si="809"/>
        <v>0</v>
      </c>
      <c r="H464" s="109"/>
      <c r="I464" s="109">
        <f t="shared" si="809"/>
        <v>0</v>
      </c>
      <c r="J464" s="109">
        <f t="shared" si="809"/>
        <v>0</v>
      </c>
      <c r="K464" s="109">
        <f t="shared" si="809"/>
        <v>0</v>
      </c>
    </row>
    <row r="465" spans="1:11" s="6" customFormat="1" ht="17.25" hidden="1" customHeight="1">
      <c r="A465" s="110"/>
      <c r="B465" s="110" t="s">
        <v>280</v>
      </c>
      <c r="C465" s="111">
        <f>C463+C464</f>
        <v>1204716179</v>
      </c>
      <c r="D465" s="113">
        <f t="shared" ref="D465:K465" si="810">D463+D464</f>
        <v>1227100179</v>
      </c>
      <c r="E465" s="111">
        <f t="shared" si="810"/>
        <v>477750815.2299999</v>
      </c>
      <c r="F465" s="111">
        <f t="shared" si="810"/>
        <v>1161300739</v>
      </c>
      <c r="G465" s="111">
        <f t="shared" si="810"/>
        <v>1141434841</v>
      </c>
      <c r="H465" s="111">
        <f t="shared" si="810"/>
        <v>1288827450</v>
      </c>
      <c r="I465" s="111">
        <f t="shared" si="810"/>
        <v>79864271</v>
      </c>
      <c r="J465" s="111">
        <f t="shared" si="810"/>
        <v>1247734950</v>
      </c>
      <c r="K465" s="111">
        <f t="shared" si="810"/>
        <v>1248985750</v>
      </c>
    </row>
    <row r="466" spans="1:11" s="6" customFormat="1" ht="10.199999999999999" hidden="1">
      <c r="H466" s="7">
        <v>1298091650</v>
      </c>
    </row>
    <row r="467" spans="1:11" s="6" customFormat="1" ht="10.199999999999999" hidden="1">
      <c r="G467" s="6" t="s">
        <v>292</v>
      </c>
      <c r="H467" s="7"/>
      <c r="I467" s="112">
        <f>H460-F460</f>
        <v>127526711</v>
      </c>
    </row>
    <row r="468" spans="1:11" s="6" customFormat="1" ht="10.199999999999999" hidden="1">
      <c r="D468" s="7">
        <f>D7-D460</f>
        <v>0</v>
      </c>
      <c r="H468" s="7">
        <f>H465-H466</f>
        <v>-9264200</v>
      </c>
      <c r="I468" s="112"/>
    </row>
    <row r="469" spans="1:11" s="7" customFormat="1" ht="10.199999999999999" hidden="1"/>
    <row r="470" spans="1:11" s="7" customFormat="1" ht="10.199999999999999" hidden="1">
      <c r="F470" s="7" t="s">
        <v>295</v>
      </c>
      <c r="H470" s="7">
        <v>1344517350</v>
      </c>
      <c r="J470" s="7">
        <v>1279654750</v>
      </c>
      <c r="K470" s="7">
        <v>1278785750</v>
      </c>
    </row>
    <row r="471" spans="1:11" s="7" customFormat="1" ht="10.199999999999999" hidden="1">
      <c r="F471" s="7" t="s">
        <v>293</v>
      </c>
      <c r="H471" s="7">
        <v>1308391650</v>
      </c>
      <c r="J471" s="7">
        <v>1265254173</v>
      </c>
      <c r="K471" s="7">
        <v>1256793484</v>
      </c>
    </row>
    <row r="472" spans="1:11" s="5" customFormat="1" hidden="1"/>
    <row r="473" spans="1:11" s="5" customFormat="1" hidden="1">
      <c r="F473" s="5" t="s">
        <v>298</v>
      </c>
      <c r="H473" s="5">
        <f>H470-H471</f>
        <v>36125700</v>
      </c>
      <c r="I473" s="115"/>
      <c r="J473" s="115">
        <f t="shared" ref="J473:K473" si="811">J470-J471</f>
        <v>14400577</v>
      </c>
      <c r="K473" s="115">
        <f t="shared" si="811"/>
        <v>21992266</v>
      </c>
    </row>
    <row r="474" spans="1:11" s="5" customFormat="1" hidden="1">
      <c r="F474" s="5" t="s">
        <v>299</v>
      </c>
      <c r="H474" s="5">
        <v>39251750</v>
      </c>
      <c r="I474" s="115"/>
      <c r="J474" s="115">
        <v>37957625</v>
      </c>
      <c r="K474" s="115">
        <v>37703805</v>
      </c>
    </row>
    <row r="475" spans="1:11" s="5" customFormat="1" hidden="1">
      <c r="F475" s="117" t="s">
        <v>296</v>
      </c>
      <c r="G475" s="117"/>
      <c r="H475" s="119">
        <f>SUM(H473:H474)</f>
        <v>75377450</v>
      </c>
      <c r="I475" s="116"/>
      <c r="J475" s="116">
        <f t="shared" ref="J475:K475" si="812">SUM(J473:J474)</f>
        <v>52358202</v>
      </c>
      <c r="K475" s="116">
        <f t="shared" si="812"/>
        <v>59696071</v>
      </c>
    </row>
    <row r="476" spans="1:11" s="5" customFormat="1" hidden="1">
      <c r="I476" s="115"/>
      <c r="J476" s="115"/>
      <c r="K476" s="115"/>
    </row>
    <row r="477" spans="1:11" s="5" customFormat="1" hidden="1">
      <c r="H477" s="5" t="e">
        <f>H475-#REF!</f>
        <v>#REF!</v>
      </c>
      <c r="I477" s="115"/>
      <c r="J477" s="115" t="e">
        <f>J475-#REF!</f>
        <v>#REF!</v>
      </c>
      <c r="K477" s="115" t="e">
        <f>K475-#REF!</f>
        <v>#REF!</v>
      </c>
    </row>
    <row r="478" spans="1:11" s="5" customFormat="1" hidden="1"/>
    <row r="479" spans="1:11" s="5" customFormat="1" hidden="1">
      <c r="F479" s="5" t="s">
        <v>297</v>
      </c>
      <c r="H479" s="5">
        <f>SUM(H465)</f>
        <v>1288827450</v>
      </c>
      <c r="J479" s="5">
        <f t="shared" ref="J479:K479" si="813">SUM(J465)</f>
        <v>1247734950</v>
      </c>
      <c r="K479" s="5">
        <f t="shared" si="813"/>
        <v>1248985750</v>
      </c>
    </row>
    <row r="480" spans="1:11" s="5" customFormat="1" hidden="1">
      <c r="F480" s="5" t="s">
        <v>300</v>
      </c>
      <c r="H480" s="5">
        <f>H470</f>
        <v>1344517350</v>
      </c>
      <c r="J480" s="5">
        <f t="shared" ref="J480:K480" si="814">J470</f>
        <v>1279654750</v>
      </c>
      <c r="K480" s="5">
        <f t="shared" si="814"/>
        <v>1278785750</v>
      </c>
    </row>
    <row r="481" spans="1:11" s="5" customFormat="1" hidden="1">
      <c r="F481" s="5" t="s">
        <v>294</v>
      </c>
      <c r="H481" s="120">
        <f>H479-H480</f>
        <v>-55689900</v>
      </c>
      <c r="I481" s="120"/>
      <c r="J481" s="120">
        <f t="shared" ref="J481:K481" si="815">J479-J480</f>
        <v>-31919800</v>
      </c>
      <c r="K481" s="120">
        <f t="shared" si="815"/>
        <v>-29800000</v>
      </c>
    </row>
    <row r="482" spans="1:11" s="5" customFormat="1" hidden="1"/>
    <row r="483" spans="1:11" s="5" customFormat="1" hidden="1">
      <c r="H483" s="5">
        <f>1268392850+76124500</f>
        <v>1344517350</v>
      </c>
    </row>
    <row r="484" spans="1:11" s="5" customFormat="1" hidden="1"/>
    <row r="485" spans="1:11" s="5" customFormat="1" hidden="1">
      <c r="A485" s="5">
        <v>11</v>
      </c>
      <c r="B485" s="129">
        <v>67111</v>
      </c>
      <c r="H485" s="5">
        <f>H11+H16+H22+H49+H53+H56+H61+H66+H84+H91+H112+H123+H136+H140+H150+H159+H168+H174+H184+H187+H191</f>
        <v>1180031150</v>
      </c>
      <c r="I485" s="5">
        <f t="shared" ref="I485:K485" si="816">I11+I16+I22+I49+I53+I56+I61+I66+I84+I91+I112+I123+I136+I140+I150+I159+I168+I174+I184+I187+I191</f>
        <v>19174971</v>
      </c>
      <c r="J485" s="5">
        <f t="shared" si="816"/>
        <v>1181113750</v>
      </c>
      <c r="K485" s="5">
        <f t="shared" si="816"/>
        <v>1188153250</v>
      </c>
    </row>
    <row r="486" spans="1:11" hidden="1">
      <c r="B486">
        <v>67121</v>
      </c>
      <c r="H486" s="5">
        <f>H458-H485</f>
        <v>51796000</v>
      </c>
      <c r="I486" s="5">
        <f t="shared" ref="I486:K486" si="817">I458-I485</f>
        <v>25580000</v>
      </c>
      <c r="J486" s="5">
        <f t="shared" si="817"/>
        <v>38496000</v>
      </c>
      <c r="K486" s="5">
        <f t="shared" si="817"/>
        <v>38116000</v>
      </c>
    </row>
    <row r="487" spans="1:11" hidden="1">
      <c r="H487" s="5">
        <f>SUM(H485:H486)</f>
        <v>1231827150</v>
      </c>
      <c r="I487" s="5">
        <f t="shared" ref="I487:K487" si="818">SUM(I485:I486)</f>
        <v>44754971</v>
      </c>
      <c r="J487" s="5">
        <f t="shared" si="818"/>
        <v>1219609750</v>
      </c>
      <c r="K487" s="5">
        <f t="shared" si="818"/>
        <v>1226269250</v>
      </c>
    </row>
    <row r="488" spans="1:11" hidden="1"/>
    <row r="489" spans="1:11" hidden="1">
      <c r="A489">
        <v>12</v>
      </c>
      <c r="B489" s="129">
        <v>67111</v>
      </c>
      <c r="H489" s="5">
        <f>H209+H235+H242+H254+H274+H303+H327+H340+H361+H380+H382+H399+H401+H424+H426+H434+H436</f>
        <v>14733000</v>
      </c>
      <c r="I489" s="5">
        <f t="shared" ref="I489:K489" si="819">I209+I235+I242+I254+I274+I303+I327+I340+I361+I380+I382+I399+I401+I424+I426+I434+I436</f>
        <v>10875500</v>
      </c>
      <c r="J489" s="5">
        <f t="shared" si="819"/>
        <v>2592000</v>
      </c>
      <c r="K489" s="5">
        <f t="shared" si="819"/>
        <v>1871500</v>
      </c>
    </row>
    <row r="490" spans="1:11" hidden="1">
      <c r="B490">
        <v>67121</v>
      </c>
      <c r="H490" s="5">
        <f>H459-H489</f>
        <v>42267300</v>
      </c>
      <c r="I490" s="5">
        <f t="shared" ref="I490:K490" si="820">I459-I489</f>
        <v>24233800</v>
      </c>
      <c r="J490" s="5">
        <f t="shared" si="820"/>
        <v>25533200</v>
      </c>
      <c r="K490" s="5">
        <f t="shared" si="820"/>
        <v>20845000</v>
      </c>
    </row>
    <row r="491" spans="1:11" hidden="1">
      <c r="H491" s="5">
        <f>SUM(H489:H490)</f>
        <v>57000300</v>
      </c>
      <c r="I491" s="5">
        <f t="shared" ref="I491:K491" si="821">SUM(I489:I490)</f>
        <v>35109300</v>
      </c>
      <c r="J491" s="5">
        <f t="shared" si="821"/>
        <v>28125200</v>
      </c>
      <c r="K491" s="5">
        <f t="shared" si="821"/>
        <v>22716500</v>
      </c>
    </row>
    <row r="492" spans="1:11" hidden="1"/>
    <row r="493" spans="1:11" hidden="1"/>
    <row r="494" spans="1:11" hidden="1"/>
    <row r="495" spans="1:11" hidden="1"/>
    <row r="496" spans="1:11" hidden="1"/>
    <row r="497" hidden="1"/>
    <row r="498" hidden="1"/>
  </sheetData>
  <mergeCells count="2">
    <mergeCell ref="A2:K2"/>
    <mergeCell ref="A3:K3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M635"/>
  <sheetViews>
    <sheetView workbookViewId="0">
      <pane xSplit="2" ySplit="5" topLeftCell="C620" activePane="bottomRight" state="frozen"/>
      <selection pane="topRight" activeCell="C1" sqref="C1"/>
      <selection pane="bottomLeft" activeCell="A6" sqref="A6"/>
      <selection pane="bottomRight" activeCell="K639" sqref="K639"/>
    </sheetView>
  </sheetViews>
  <sheetFormatPr defaultRowHeight="14.4"/>
  <cols>
    <col min="1" max="1" width="8.6640625" customWidth="1"/>
    <col min="2" max="2" width="38.21875" customWidth="1"/>
    <col min="3" max="7" width="12.77734375" hidden="1" customWidth="1"/>
    <col min="8" max="8" width="12.21875" customWidth="1"/>
    <col min="9" max="9" width="0.109375" hidden="1" customWidth="1"/>
    <col min="10" max="10" width="12.88671875" customWidth="1"/>
    <col min="11" max="11" width="12.77734375" customWidth="1"/>
    <col min="12" max="13" width="12.77734375" bestFit="1" customWidth="1"/>
    <col min="14" max="15" width="15.44140625" bestFit="1" customWidth="1"/>
    <col min="16" max="27" width="16" bestFit="1" customWidth="1"/>
    <col min="28" max="32" width="15" bestFit="1" customWidth="1"/>
    <col min="33" max="33" width="14" bestFit="1" customWidth="1"/>
    <col min="34" max="34" width="15" bestFit="1" customWidth="1"/>
    <col min="35" max="35" width="14" bestFit="1" customWidth="1"/>
    <col min="248" max="248" width="2.77734375" customWidth="1"/>
    <col min="249" max="249" width="1.21875" customWidth="1"/>
    <col min="250" max="252" width="0" hidden="1" customWidth="1"/>
    <col min="253" max="253" width="3.77734375" customWidth="1"/>
    <col min="254" max="254" width="30.77734375" customWidth="1"/>
    <col min="255" max="255" width="65.77734375" customWidth="1"/>
    <col min="256" max="257" width="10.77734375" customWidth="1"/>
    <col min="258" max="258" width="11.77734375" customWidth="1"/>
    <col min="259" max="263" width="10.77734375" customWidth="1"/>
    <col min="264" max="269" width="12.77734375" bestFit="1" customWidth="1"/>
    <col min="270" max="271" width="15.44140625" bestFit="1" customWidth="1"/>
    <col min="272" max="283" width="16" bestFit="1" customWidth="1"/>
    <col min="284" max="288" width="15" bestFit="1" customWidth="1"/>
    <col min="289" max="289" width="14" bestFit="1" customWidth="1"/>
    <col min="290" max="290" width="15" bestFit="1" customWidth="1"/>
    <col min="291" max="291" width="14" bestFit="1" customWidth="1"/>
    <col min="504" max="504" width="2.77734375" customWidth="1"/>
    <col min="505" max="505" width="1.21875" customWidth="1"/>
    <col min="506" max="508" width="0" hidden="1" customWidth="1"/>
    <col min="509" max="509" width="3.77734375" customWidth="1"/>
    <col min="510" max="510" width="30.77734375" customWidth="1"/>
    <col min="511" max="511" width="65.77734375" customWidth="1"/>
    <col min="512" max="513" width="10.77734375" customWidth="1"/>
    <col min="514" max="514" width="11.77734375" customWidth="1"/>
    <col min="515" max="519" width="10.77734375" customWidth="1"/>
    <col min="520" max="525" width="12.77734375" bestFit="1" customWidth="1"/>
    <col min="526" max="527" width="15.44140625" bestFit="1" customWidth="1"/>
    <col min="528" max="539" width="16" bestFit="1" customWidth="1"/>
    <col min="540" max="544" width="15" bestFit="1" customWidth="1"/>
    <col min="545" max="545" width="14" bestFit="1" customWidth="1"/>
    <col min="546" max="546" width="15" bestFit="1" customWidth="1"/>
    <col min="547" max="547" width="14" bestFit="1" customWidth="1"/>
    <col min="760" max="760" width="2.77734375" customWidth="1"/>
    <col min="761" max="761" width="1.21875" customWidth="1"/>
    <col min="762" max="764" width="0" hidden="1" customWidth="1"/>
    <col min="765" max="765" width="3.77734375" customWidth="1"/>
    <col min="766" max="766" width="30.77734375" customWidth="1"/>
    <col min="767" max="767" width="65.77734375" customWidth="1"/>
    <col min="768" max="769" width="10.77734375" customWidth="1"/>
    <col min="770" max="770" width="11.77734375" customWidth="1"/>
    <col min="771" max="775" width="10.77734375" customWidth="1"/>
    <col min="776" max="781" width="12.77734375" bestFit="1" customWidth="1"/>
    <col min="782" max="783" width="15.44140625" bestFit="1" customWidth="1"/>
    <col min="784" max="795" width="16" bestFit="1" customWidth="1"/>
    <col min="796" max="800" width="15" bestFit="1" customWidth="1"/>
    <col min="801" max="801" width="14" bestFit="1" customWidth="1"/>
    <col min="802" max="802" width="15" bestFit="1" customWidth="1"/>
    <col min="803" max="803" width="14" bestFit="1" customWidth="1"/>
    <col min="1016" max="1016" width="2.77734375" customWidth="1"/>
    <col min="1017" max="1017" width="1.21875" customWidth="1"/>
    <col min="1018" max="1020" width="0" hidden="1" customWidth="1"/>
    <col min="1021" max="1021" width="3.77734375" customWidth="1"/>
    <col min="1022" max="1022" width="30.77734375" customWidth="1"/>
    <col min="1023" max="1023" width="65.77734375" customWidth="1"/>
    <col min="1024" max="1025" width="10.77734375" customWidth="1"/>
    <col min="1026" max="1026" width="11.77734375" customWidth="1"/>
    <col min="1027" max="1031" width="10.77734375" customWidth="1"/>
    <col min="1032" max="1037" width="12.77734375" bestFit="1" customWidth="1"/>
    <col min="1038" max="1039" width="15.44140625" bestFit="1" customWidth="1"/>
    <col min="1040" max="1051" width="16" bestFit="1" customWidth="1"/>
    <col min="1052" max="1056" width="15" bestFit="1" customWidth="1"/>
    <col min="1057" max="1057" width="14" bestFit="1" customWidth="1"/>
    <col min="1058" max="1058" width="15" bestFit="1" customWidth="1"/>
    <col min="1059" max="1059" width="14" bestFit="1" customWidth="1"/>
    <col min="1272" max="1272" width="2.77734375" customWidth="1"/>
    <col min="1273" max="1273" width="1.21875" customWidth="1"/>
    <col min="1274" max="1276" width="0" hidden="1" customWidth="1"/>
    <col min="1277" max="1277" width="3.77734375" customWidth="1"/>
    <col min="1278" max="1278" width="30.77734375" customWidth="1"/>
    <col min="1279" max="1279" width="65.77734375" customWidth="1"/>
    <col min="1280" max="1281" width="10.77734375" customWidth="1"/>
    <col min="1282" max="1282" width="11.77734375" customWidth="1"/>
    <col min="1283" max="1287" width="10.77734375" customWidth="1"/>
    <col min="1288" max="1293" width="12.77734375" bestFit="1" customWidth="1"/>
    <col min="1294" max="1295" width="15.44140625" bestFit="1" customWidth="1"/>
    <col min="1296" max="1307" width="16" bestFit="1" customWidth="1"/>
    <col min="1308" max="1312" width="15" bestFit="1" customWidth="1"/>
    <col min="1313" max="1313" width="14" bestFit="1" customWidth="1"/>
    <col min="1314" max="1314" width="15" bestFit="1" customWidth="1"/>
    <col min="1315" max="1315" width="14" bestFit="1" customWidth="1"/>
    <col min="1528" max="1528" width="2.77734375" customWidth="1"/>
    <col min="1529" max="1529" width="1.21875" customWidth="1"/>
    <col min="1530" max="1532" width="0" hidden="1" customWidth="1"/>
    <col min="1533" max="1533" width="3.77734375" customWidth="1"/>
    <col min="1534" max="1534" width="30.77734375" customWidth="1"/>
    <col min="1535" max="1535" width="65.77734375" customWidth="1"/>
    <col min="1536" max="1537" width="10.77734375" customWidth="1"/>
    <col min="1538" max="1538" width="11.77734375" customWidth="1"/>
    <col min="1539" max="1543" width="10.77734375" customWidth="1"/>
    <col min="1544" max="1549" width="12.77734375" bestFit="1" customWidth="1"/>
    <col min="1550" max="1551" width="15.44140625" bestFit="1" customWidth="1"/>
    <col min="1552" max="1563" width="16" bestFit="1" customWidth="1"/>
    <col min="1564" max="1568" width="15" bestFit="1" customWidth="1"/>
    <col min="1569" max="1569" width="14" bestFit="1" customWidth="1"/>
    <col min="1570" max="1570" width="15" bestFit="1" customWidth="1"/>
    <col min="1571" max="1571" width="14" bestFit="1" customWidth="1"/>
    <col min="1784" max="1784" width="2.77734375" customWidth="1"/>
    <col min="1785" max="1785" width="1.21875" customWidth="1"/>
    <col min="1786" max="1788" width="0" hidden="1" customWidth="1"/>
    <col min="1789" max="1789" width="3.77734375" customWidth="1"/>
    <col min="1790" max="1790" width="30.77734375" customWidth="1"/>
    <col min="1791" max="1791" width="65.77734375" customWidth="1"/>
    <col min="1792" max="1793" width="10.77734375" customWidth="1"/>
    <col min="1794" max="1794" width="11.77734375" customWidth="1"/>
    <col min="1795" max="1799" width="10.77734375" customWidth="1"/>
    <col min="1800" max="1805" width="12.77734375" bestFit="1" customWidth="1"/>
    <col min="1806" max="1807" width="15.44140625" bestFit="1" customWidth="1"/>
    <col min="1808" max="1819" width="16" bestFit="1" customWidth="1"/>
    <col min="1820" max="1824" width="15" bestFit="1" customWidth="1"/>
    <col min="1825" max="1825" width="14" bestFit="1" customWidth="1"/>
    <col min="1826" max="1826" width="15" bestFit="1" customWidth="1"/>
    <col min="1827" max="1827" width="14" bestFit="1" customWidth="1"/>
    <col min="2040" max="2040" width="2.77734375" customWidth="1"/>
    <col min="2041" max="2041" width="1.21875" customWidth="1"/>
    <col min="2042" max="2044" width="0" hidden="1" customWidth="1"/>
    <col min="2045" max="2045" width="3.77734375" customWidth="1"/>
    <col min="2046" max="2046" width="30.77734375" customWidth="1"/>
    <col min="2047" max="2047" width="65.77734375" customWidth="1"/>
    <col min="2048" max="2049" width="10.77734375" customWidth="1"/>
    <col min="2050" max="2050" width="11.77734375" customWidth="1"/>
    <col min="2051" max="2055" width="10.77734375" customWidth="1"/>
    <col min="2056" max="2061" width="12.77734375" bestFit="1" customWidth="1"/>
    <col min="2062" max="2063" width="15.44140625" bestFit="1" customWidth="1"/>
    <col min="2064" max="2075" width="16" bestFit="1" customWidth="1"/>
    <col min="2076" max="2080" width="15" bestFit="1" customWidth="1"/>
    <col min="2081" max="2081" width="14" bestFit="1" customWidth="1"/>
    <col min="2082" max="2082" width="15" bestFit="1" customWidth="1"/>
    <col min="2083" max="2083" width="14" bestFit="1" customWidth="1"/>
    <col min="2296" max="2296" width="2.77734375" customWidth="1"/>
    <col min="2297" max="2297" width="1.21875" customWidth="1"/>
    <col min="2298" max="2300" width="0" hidden="1" customWidth="1"/>
    <col min="2301" max="2301" width="3.77734375" customWidth="1"/>
    <col min="2302" max="2302" width="30.77734375" customWidth="1"/>
    <col min="2303" max="2303" width="65.77734375" customWidth="1"/>
    <col min="2304" max="2305" width="10.77734375" customWidth="1"/>
    <col min="2306" max="2306" width="11.77734375" customWidth="1"/>
    <col min="2307" max="2311" width="10.77734375" customWidth="1"/>
    <col min="2312" max="2317" width="12.77734375" bestFit="1" customWidth="1"/>
    <col min="2318" max="2319" width="15.44140625" bestFit="1" customWidth="1"/>
    <col min="2320" max="2331" width="16" bestFit="1" customWidth="1"/>
    <col min="2332" max="2336" width="15" bestFit="1" customWidth="1"/>
    <col min="2337" max="2337" width="14" bestFit="1" customWidth="1"/>
    <col min="2338" max="2338" width="15" bestFit="1" customWidth="1"/>
    <col min="2339" max="2339" width="14" bestFit="1" customWidth="1"/>
    <col min="2552" max="2552" width="2.77734375" customWidth="1"/>
    <col min="2553" max="2553" width="1.21875" customWidth="1"/>
    <col min="2554" max="2556" width="0" hidden="1" customWidth="1"/>
    <col min="2557" max="2557" width="3.77734375" customWidth="1"/>
    <col min="2558" max="2558" width="30.77734375" customWidth="1"/>
    <col min="2559" max="2559" width="65.77734375" customWidth="1"/>
    <col min="2560" max="2561" width="10.77734375" customWidth="1"/>
    <col min="2562" max="2562" width="11.77734375" customWidth="1"/>
    <col min="2563" max="2567" width="10.77734375" customWidth="1"/>
    <col min="2568" max="2573" width="12.77734375" bestFit="1" customWidth="1"/>
    <col min="2574" max="2575" width="15.44140625" bestFit="1" customWidth="1"/>
    <col min="2576" max="2587" width="16" bestFit="1" customWidth="1"/>
    <col min="2588" max="2592" width="15" bestFit="1" customWidth="1"/>
    <col min="2593" max="2593" width="14" bestFit="1" customWidth="1"/>
    <col min="2594" max="2594" width="15" bestFit="1" customWidth="1"/>
    <col min="2595" max="2595" width="14" bestFit="1" customWidth="1"/>
    <col min="2808" max="2808" width="2.77734375" customWidth="1"/>
    <col min="2809" max="2809" width="1.21875" customWidth="1"/>
    <col min="2810" max="2812" width="0" hidden="1" customWidth="1"/>
    <col min="2813" max="2813" width="3.77734375" customWidth="1"/>
    <col min="2814" max="2814" width="30.77734375" customWidth="1"/>
    <col min="2815" max="2815" width="65.77734375" customWidth="1"/>
    <col min="2816" max="2817" width="10.77734375" customWidth="1"/>
    <col min="2818" max="2818" width="11.77734375" customWidth="1"/>
    <col min="2819" max="2823" width="10.77734375" customWidth="1"/>
    <col min="2824" max="2829" width="12.77734375" bestFit="1" customWidth="1"/>
    <col min="2830" max="2831" width="15.44140625" bestFit="1" customWidth="1"/>
    <col min="2832" max="2843" width="16" bestFit="1" customWidth="1"/>
    <col min="2844" max="2848" width="15" bestFit="1" customWidth="1"/>
    <col min="2849" max="2849" width="14" bestFit="1" customWidth="1"/>
    <col min="2850" max="2850" width="15" bestFit="1" customWidth="1"/>
    <col min="2851" max="2851" width="14" bestFit="1" customWidth="1"/>
    <col min="3064" max="3064" width="2.77734375" customWidth="1"/>
    <col min="3065" max="3065" width="1.21875" customWidth="1"/>
    <col min="3066" max="3068" width="0" hidden="1" customWidth="1"/>
    <col min="3069" max="3069" width="3.77734375" customWidth="1"/>
    <col min="3070" max="3070" width="30.77734375" customWidth="1"/>
    <col min="3071" max="3071" width="65.77734375" customWidth="1"/>
    <col min="3072" max="3073" width="10.77734375" customWidth="1"/>
    <col min="3074" max="3074" width="11.77734375" customWidth="1"/>
    <col min="3075" max="3079" width="10.77734375" customWidth="1"/>
    <col min="3080" max="3085" width="12.77734375" bestFit="1" customWidth="1"/>
    <col min="3086" max="3087" width="15.44140625" bestFit="1" customWidth="1"/>
    <col min="3088" max="3099" width="16" bestFit="1" customWidth="1"/>
    <col min="3100" max="3104" width="15" bestFit="1" customWidth="1"/>
    <col min="3105" max="3105" width="14" bestFit="1" customWidth="1"/>
    <col min="3106" max="3106" width="15" bestFit="1" customWidth="1"/>
    <col min="3107" max="3107" width="14" bestFit="1" customWidth="1"/>
    <col min="3320" max="3320" width="2.77734375" customWidth="1"/>
    <col min="3321" max="3321" width="1.21875" customWidth="1"/>
    <col min="3322" max="3324" width="0" hidden="1" customWidth="1"/>
    <col min="3325" max="3325" width="3.77734375" customWidth="1"/>
    <col min="3326" max="3326" width="30.77734375" customWidth="1"/>
    <col min="3327" max="3327" width="65.77734375" customWidth="1"/>
    <col min="3328" max="3329" width="10.77734375" customWidth="1"/>
    <col min="3330" max="3330" width="11.77734375" customWidth="1"/>
    <col min="3331" max="3335" width="10.77734375" customWidth="1"/>
    <col min="3336" max="3341" width="12.77734375" bestFit="1" customWidth="1"/>
    <col min="3342" max="3343" width="15.44140625" bestFit="1" customWidth="1"/>
    <col min="3344" max="3355" width="16" bestFit="1" customWidth="1"/>
    <col min="3356" max="3360" width="15" bestFit="1" customWidth="1"/>
    <col min="3361" max="3361" width="14" bestFit="1" customWidth="1"/>
    <col min="3362" max="3362" width="15" bestFit="1" customWidth="1"/>
    <col min="3363" max="3363" width="14" bestFit="1" customWidth="1"/>
    <col min="3576" max="3576" width="2.77734375" customWidth="1"/>
    <col min="3577" max="3577" width="1.21875" customWidth="1"/>
    <col min="3578" max="3580" width="0" hidden="1" customWidth="1"/>
    <col min="3581" max="3581" width="3.77734375" customWidth="1"/>
    <col min="3582" max="3582" width="30.77734375" customWidth="1"/>
    <col min="3583" max="3583" width="65.77734375" customWidth="1"/>
    <col min="3584" max="3585" width="10.77734375" customWidth="1"/>
    <col min="3586" max="3586" width="11.77734375" customWidth="1"/>
    <col min="3587" max="3591" width="10.77734375" customWidth="1"/>
    <col min="3592" max="3597" width="12.77734375" bestFit="1" customWidth="1"/>
    <col min="3598" max="3599" width="15.44140625" bestFit="1" customWidth="1"/>
    <col min="3600" max="3611" width="16" bestFit="1" customWidth="1"/>
    <col min="3612" max="3616" width="15" bestFit="1" customWidth="1"/>
    <col min="3617" max="3617" width="14" bestFit="1" customWidth="1"/>
    <col min="3618" max="3618" width="15" bestFit="1" customWidth="1"/>
    <col min="3619" max="3619" width="14" bestFit="1" customWidth="1"/>
    <col min="3832" max="3832" width="2.77734375" customWidth="1"/>
    <col min="3833" max="3833" width="1.21875" customWidth="1"/>
    <col min="3834" max="3836" width="0" hidden="1" customWidth="1"/>
    <col min="3837" max="3837" width="3.77734375" customWidth="1"/>
    <col min="3838" max="3838" width="30.77734375" customWidth="1"/>
    <col min="3839" max="3839" width="65.77734375" customWidth="1"/>
    <col min="3840" max="3841" width="10.77734375" customWidth="1"/>
    <col min="3842" max="3842" width="11.77734375" customWidth="1"/>
    <col min="3843" max="3847" width="10.77734375" customWidth="1"/>
    <col min="3848" max="3853" width="12.77734375" bestFit="1" customWidth="1"/>
    <col min="3854" max="3855" width="15.44140625" bestFit="1" customWidth="1"/>
    <col min="3856" max="3867" width="16" bestFit="1" customWidth="1"/>
    <col min="3868" max="3872" width="15" bestFit="1" customWidth="1"/>
    <col min="3873" max="3873" width="14" bestFit="1" customWidth="1"/>
    <col min="3874" max="3874" width="15" bestFit="1" customWidth="1"/>
    <col min="3875" max="3875" width="14" bestFit="1" customWidth="1"/>
    <col min="4088" max="4088" width="2.77734375" customWidth="1"/>
    <col min="4089" max="4089" width="1.21875" customWidth="1"/>
    <col min="4090" max="4092" width="0" hidden="1" customWidth="1"/>
    <col min="4093" max="4093" width="3.77734375" customWidth="1"/>
    <col min="4094" max="4094" width="30.77734375" customWidth="1"/>
    <col min="4095" max="4095" width="65.77734375" customWidth="1"/>
    <col min="4096" max="4097" width="10.77734375" customWidth="1"/>
    <col min="4098" max="4098" width="11.77734375" customWidth="1"/>
    <col min="4099" max="4103" width="10.77734375" customWidth="1"/>
    <col min="4104" max="4109" width="12.77734375" bestFit="1" customWidth="1"/>
    <col min="4110" max="4111" width="15.44140625" bestFit="1" customWidth="1"/>
    <col min="4112" max="4123" width="16" bestFit="1" customWidth="1"/>
    <col min="4124" max="4128" width="15" bestFit="1" customWidth="1"/>
    <col min="4129" max="4129" width="14" bestFit="1" customWidth="1"/>
    <col min="4130" max="4130" width="15" bestFit="1" customWidth="1"/>
    <col min="4131" max="4131" width="14" bestFit="1" customWidth="1"/>
    <col min="4344" max="4344" width="2.77734375" customWidth="1"/>
    <col min="4345" max="4345" width="1.21875" customWidth="1"/>
    <col min="4346" max="4348" width="0" hidden="1" customWidth="1"/>
    <col min="4349" max="4349" width="3.77734375" customWidth="1"/>
    <col min="4350" max="4350" width="30.77734375" customWidth="1"/>
    <col min="4351" max="4351" width="65.77734375" customWidth="1"/>
    <col min="4352" max="4353" width="10.77734375" customWidth="1"/>
    <col min="4354" max="4354" width="11.77734375" customWidth="1"/>
    <col min="4355" max="4359" width="10.77734375" customWidth="1"/>
    <col min="4360" max="4365" width="12.77734375" bestFit="1" customWidth="1"/>
    <col min="4366" max="4367" width="15.44140625" bestFit="1" customWidth="1"/>
    <col min="4368" max="4379" width="16" bestFit="1" customWidth="1"/>
    <col min="4380" max="4384" width="15" bestFit="1" customWidth="1"/>
    <col min="4385" max="4385" width="14" bestFit="1" customWidth="1"/>
    <col min="4386" max="4386" width="15" bestFit="1" customWidth="1"/>
    <col min="4387" max="4387" width="14" bestFit="1" customWidth="1"/>
    <col min="4600" max="4600" width="2.77734375" customWidth="1"/>
    <col min="4601" max="4601" width="1.21875" customWidth="1"/>
    <col min="4602" max="4604" width="0" hidden="1" customWidth="1"/>
    <col min="4605" max="4605" width="3.77734375" customWidth="1"/>
    <col min="4606" max="4606" width="30.77734375" customWidth="1"/>
    <col min="4607" max="4607" width="65.77734375" customWidth="1"/>
    <col min="4608" max="4609" width="10.77734375" customWidth="1"/>
    <col min="4610" max="4610" width="11.77734375" customWidth="1"/>
    <col min="4611" max="4615" width="10.77734375" customWidth="1"/>
    <col min="4616" max="4621" width="12.77734375" bestFit="1" customWidth="1"/>
    <col min="4622" max="4623" width="15.44140625" bestFit="1" customWidth="1"/>
    <col min="4624" max="4635" width="16" bestFit="1" customWidth="1"/>
    <col min="4636" max="4640" width="15" bestFit="1" customWidth="1"/>
    <col min="4641" max="4641" width="14" bestFit="1" customWidth="1"/>
    <col min="4642" max="4642" width="15" bestFit="1" customWidth="1"/>
    <col min="4643" max="4643" width="14" bestFit="1" customWidth="1"/>
    <col min="4856" max="4856" width="2.77734375" customWidth="1"/>
    <col min="4857" max="4857" width="1.21875" customWidth="1"/>
    <col min="4858" max="4860" width="0" hidden="1" customWidth="1"/>
    <col min="4861" max="4861" width="3.77734375" customWidth="1"/>
    <col min="4862" max="4862" width="30.77734375" customWidth="1"/>
    <col min="4863" max="4863" width="65.77734375" customWidth="1"/>
    <col min="4864" max="4865" width="10.77734375" customWidth="1"/>
    <col min="4866" max="4866" width="11.77734375" customWidth="1"/>
    <col min="4867" max="4871" width="10.77734375" customWidth="1"/>
    <col min="4872" max="4877" width="12.77734375" bestFit="1" customWidth="1"/>
    <col min="4878" max="4879" width="15.44140625" bestFit="1" customWidth="1"/>
    <col min="4880" max="4891" width="16" bestFit="1" customWidth="1"/>
    <col min="4892" max="4896" width="15" bestFit="1" customWidth="1"/>
    <col min="4897" max="4897" width="14" bestFit="1" customWidth="1"/>
    <col min="4898" max="4898" width="15" bestFit="1" customWidth="1"/>
    <col min="4899" max="4899" width="14" bestFit="1" customWidth="1"/>
    <col min="5112" max="5112" width="2.77734375" customWidth="1"/>
    <col min="5113" max="5113" width="1.21875" customWidth="1"/>
    <col min="5114" max="5116" width="0" hidden="1" customWidth="1"/>
    <col min="5117" max="5117" width="3.77734375" customWidth="1"/>
    <col min="5118" max="5118" width="30.77734375" customWidth="1"/>
    <col min="5119" max="5119" width="65.77734375" customWidth="1"/>
    <col min="5120" max="5121" width="10.77734375" customWidth="1"/>
    <col min="5122" max="5122" width="11.77734375" customWidth="1"/>
    <col min="5123" max="5127" width="10.77734375" customWidth="1"/>
    <col min="5128" max="5133" width="12.77734375" bestFit="1" customWidth="1"/>
    <col min="5134" max="5135" width="15.44140625" bestFit="1" customWidth="1"/>
    <col min="5136" max="5147" width="16" bestFit="1" customWidth="1"/>
    <col min="5148" max="5152" width="15" bestFit="1" customWidth="1"/>
    <col min="5153" max="5153" width="14" bestFit="1" customWidth="1"/>
    <col min="5154" max="5154" width="15" bestFit="1" customWidth="1"/>
    <col min="5155" max="5155" width="14" bestFit="1" customWidth="1"/>
    <col min="5368" max="5368" width="2.77734375" customWidth="1"/>
    <col min="5369" max="5369" width="1.21875" customWidth="1"/>
    <col min="5370" max="5372" width="0" hidden="1" customWidth="1"/>
    <col min="5373" max="5373" width="3.77734375" customWidth="1"/>
    <col min="5374" max="5374" width="30.77734375" customWidth="1"/>
    <col min="5375" max="5375" width="65.77734375" customWidth="1"/>
    <col min="5376" max="5377" width="10.77734375" customWidth="1"/>
    <col min="5378" max="5378" width="11.77734375" customWidth="1"/>
    <col min="5379" max="5383" width="10.77734375" customWidth="1"/>
    <col min="5384" max="5389" width="12.77734375" bestFit="1" customWidth="1"/>
    <col min="5390" max="5391" width="15.44140625" bestFit="1" customWidth="1"/>
    <col min="5392" max="5403" width="16" bestFit="1" customWidth="1"/>
    <col min="5404" max="5408" width="15" bestFit="1" customWidth="1"/>
    <col min="5409" max="5409" width="14" bestFit="1" customWidth="1"/>
    <col min="5410" max="5410" width="15" bestFit="1" customWidth="1"/>
    <col min="5411" max="5411" width="14" bestFit="1" customWidth="1"/>
    <col min="5624" max="5624" width="2.77734375" customWidth="1"/>
    <col min="5625" max="5625" width="1.21875" customWidth="1"/>
    <col min="5626" max="5628" width="0" hidden="1" customWidth="1"/>
    <col min="5629" max="5629" width="3.77734375" customWidth="1"/>
    <col min="5630" max="5630" width="30.77734375" customWidth="1"/>
    <col min="5631" max="5631" width="65.77734375" customWidth="1"/>
    <col min="5632" max="5633" width="10.77734375" customWidth="1"/>
    <col min="5634" max="5634" width="11.77734375" customWidth="1"/>
    <col min="5635" max="5639" width="10.77734375" customWidth="1"/>
    <col min="5640" max="5645" width="12.77734375" bestFit="1" customWidth="1"/>
    <col min="5646" max="5647" width="15.44140625" bestFit="1" customWidth="1"/>
    <col min="5648" max="5659" width="16" bestFit="1" customWidth="1"/>
    <col min="5660" max="5664" width="15" bestFit="1" customWidth="1"/>
    <col min="5665" max="5665" width="14" bestFit="1" customWidth="1"/>
    <col min="5666" max="5666" width="15" bestFit="1" customWidth="1"/>
    <col min="5667" max="5667" width="14" bestFit="1" customWidth="1"/>
    <col min="5880" max="5880" width="2.77734375" customWidth="1"/>
    <col min="5881" max="5881" width="1.21875" customWidth="1"/>
    <col min="5882" max="5884" width="0" hidden="1" customWidth="1"/>
    <col min="5885" max="5885" width="3.77734375" customWidth="1"/>
    <col min="5886" max="5886" width="30.77734375" customWidth="1"/>
    <col min="5887" max="5887" width="65.77734375" customWidth="1"/>
    <col min="5888" max="5889" width="10.77734375" customWidth="1"/>
    <col min="5890" max="5890" width="11.77734375" customWidth="1"/>
    <col min="5891" max="5895" width="10.77734375" customWidth="1"/>
    <col min="5896" max="5901" width="12.77734375" bestFit="1" customWidth="1"/>
    <col min="5902" max="5903" width="15.44140625" bestFit="1" customWidth="1"/>
    <col min="5904" max="5915" width="16" bestFit="1" customWidth="1"/>
    <col min="5916" max="5920" width="15" bestFit="1" customWidth="1"/>
    <col min="5921" max="5921" width="14" bestFit="1" customWidth="1"/>
    <col min="5922" max="5922" width="15" bestFit="1" customWidth="1"/>
    <col min="5923" max="5923" width="14" bestFit="1" customWidth="1"/>
    <col min="6136" max="6136" width="2.77734375" customWidth="1"/>
    <col min="6137" max="6137" width="1.21875" customWidth="1"/>
    <col min="6138" max="6140" width="0" hidden="1" customWidth="1"/>
    <col min="6141" max="6141" width="3.77734375" customWidth="1"/>
    <col min="6142" max="6142" width="30.77734375" customWidth="1"/>
    <col min="6143" max="6143" width="65.77734375" customWidth="1"/>
    <col min="6144" max="6145" width="10.77734375" customWidth="1"/>
    <col min="6146" max="6146" width="11.77734375" customWidth="1"/>
    <col min="6147" max="6151" width="10.77734375" customWidth="1"/>
    <col min="6152" max="6157" width="12.77734375" bestFit="1" customWidth="1"/>
    <col min="6158" max="6159" width="15.44140625" bestFit="1" customWidth="1"/>
    <col min="6160" max="6171" width="16" bestFit="1" customWidth="1"/>
    <col min="6172" max="6176" width="15" bestFit="1" customWidth="1"/>
    <col min="6177" max="6177" width="14" bestFit="1" customWidth="1"/>
    <col min="6178" max="6178" width="15" bestFit="1" customWidth="1"/>
    <col min="6179" max="6179" width="14" bestFit="1" customWidth="1"/>
    <col min="6392" max="6392" width="2.77734375" customWidth="1"/>
    <col min="6393" max="6393" width="1.21875" customWidth="1"/>
    <col min="6394" max="6396" width="0" hidden="1" customWidth="1"/>
    <col min="6397" max="6397" width="3.77734375" customWidth="1"/>
    <col min="6398" max="6398" width="30.77734375" customWidth="1"/>
    <col min="6399" max="6399" width="65.77734375" customWidth="1"/>
    <col min="6400" max="6401" width="10.77734375" customWidth="1"/>
    <col min="6402" max="6402" width="11.77734375" customWidth="1"/>
    <col min="6403" max="6407" width="10.77734375" customWidth="1"/>
    <col min="6408" max="6413" width="12.77734375" bestFit="1" customWidth="1"/>
    <col min="6414" max="6415" width="15.44140625" bestFit="1" customWidth="1"/>
    <col min="6416" max="6427" width="16" bestFit="1" customWidth="1"/>
    <col min="6428" max="6432" width="15" bestFit="1" customWidth="1"/>
    <col min="6433" max="6433" width="14" bestFit="1" customWidth="1"/>
    <col min="6434" max="6434" width="15" bestFit="1" customWidth="1"/>
    <col min="6435" max="6435" width="14" bestFit="1" customWidth="1"/>
    <col min="6648" max="6648" width="2.77734375" customWidth="1"/>
    <col min="6649" max="6649" width="1.21875" customWidth="1"/>
    <col min="6650" max="6652" width="0" hidden="1" customWidth="1"/>
    <col min="6653" max="6653" width="3.77734375" customWidth="1"/>
    <col min="6654" max="6654" width="30.77734375" customWidth="1"/>
    <col min="6655" max="6655" width="65.77734375" customWidth="1"/>
    <col min="6656" max="6657" width="10.77734375" customWidth="1"/>
    <col min="6658" max="6658" width="11.77734375" customWidth="1"/>
    <col min="6659" max="6663" width="10.77734375" customWidth="1"/>
    <col min="6664" max="6669" width="12.77734375" bestFit="1" customWidth="1"/>
    <col min="6670" max="6671" width="15.44140625" bestFit="1" customWidth="1"/>
    <col min="6672" max="6683" width="16" bestFit="1" customWidth="1"/>
    <col min="6684" max="6688" width="15" bestFit="1" customWidth="1"/>
    <col min="6689" max="6689" width="14" bestFit="1" customWidth="1"/>
    <col min="6690" max="6690" width="15" bestFit="1" customWidth="1"/>
    <col min="6691" max="6691" width="14" bestFit="1" customWidth="1"/>
    <col min="6904" max="6904" width="2.77734375" customWidth="1"/>
    <col min="6905" max="6905" width="1.21875" customWidth="1"/>
    <col min="6906" max="6908" width="0" hidden="1" customWidth="1"/>
    <col min="6909" max="6909" width="3.77734375" customWidth="1"/>
    <col min="6910" max="6910" width="30.77734375" customWidth="1"/>
    <col min="6911" max="6911" width="65.77734375" customWidth="1"/>
    <col min="6912" max="6913" width="10.77734375" customWidth="1"/>
    <col min="6914" max="6914" width="11.77734375" customWidth="1"/>
    <col min="6915" max="6919" width="10.77734375" customWidth="1"/>
    <col min="6920" max="6925" width="12.77734375" bestFit="1" customWidth="1"/>
    <col min="6926" max="6927" width="15.44140625" bestFit="1" customWidth="1"/>
    <col min="6928" max="6939" width="16" bestFit="1" customWidth="1"/>
    <col min="6940" max="6944" width="15" bestFit="1" customWidth="1"/>
    <col min="6945" max="6945" width="14" bestFit="1" customWidth="1"/>
    <col min="6946" max="6946" width="15" bestFit="1" customWidth="1"/>
    <col min="6947" max="6947" width="14" bestFit="1" customWidth="1"/>
    <col min="7160" max="7160" width="2.77734375" customWidth="1"/>
    <col min="7161" max="7161" width="1.21875" customWidth="1"/>
    <col min="7162" max="7164" width="0" hidden="1" customWidth="1"/>
    <col min="7165" max="7165" width="3.77734375" customWidth="1"/>
    <col min="7166" max="7166" width="30.77734375" customWidth="1"/>
    <col min="7167" max="7167" width="65.77734375" customWidth="1"/>
    <col min="7168" max="7169" width="10.77734375" customWidth="1"/>
    <col min="7170" max="7170" width="11.77734375" customWidth="1"/>
    <col min="7171" max="7175" width="10.77734375" customWidth="1"/>
    <col min="7176" max="7181" width="12.77734375" bestFit="1" customWidth="1"/>
    <col min="7182" max="7183" width="15.44140625" bestFit="1" customWidth="1"/>
    <col min="7184" max="7195" width="16" bestFit="1" customWidth="1"/>
    <col min="7196" max="7200" width="15" bestFit="1" customWidth="1"/>
    <col min="7201" max="7201" width="14" bestFit="1" customWidth="1"/>
    <col min="7202" max="7202" width="15" bestFit="1" customWidth="1"/>
    <col min="7203" max="7203" width="14" bestFit="1" customWidth="1"/>
    <col min="7416" max="7416" width="2.77734375" customWidth="1"/>
    <col min="7417" max="7417" width="1.21875" customWidth="1"/>
    <col min="7418" max="7420" width="0" hidden="1" customWidth="1"/>
    <col min="7421" max="7421" width="3.77734375" customWidth="1"/>
    <col min="7422" max="7422" width="30.77734375" customWidth="1"/>
    <col min="7423" max="7423" width="65.77734375" customWidth="1"/>
    <col min="7424" max="7425" width="10.77734375" customWidth="1"/>
    <col min="7426" max="7426" width="11.77734375" customWidth="1"/>
    <col min="7427" max="7431" width="10.77734375" customWidth="1"/>
    <col min="7432" max="7437" width="12.77734375" bestFit="1" customWidth="1"/>
    <col min="7438" max="7439" width="15.44140625" bestFit="1" customWidth="1"/>
    <col min="7440" max="7451" width="16" bestFit="1" customWidth="1"/>
    <col min="7452" max="7456" width="15" bestFit="1" customWidth="1"/>
    <col min="7457" max="7457" width="14" bestFit="1" customWidth="1"/>
    <col min="7458" max="7458" width="15" bestFit="1" customWidth="1"/>
    <col min="7459" max="7459" width="14" bestFit="1" customWidth="1"/>
    <col min="7672" max="7672" width="2.77734375" customWidth="1"/>
    <col min="7673" max="7673" width="1.21875" customWidth="1"/>
    <col min="7674" max="7676" width="0" hidden="1" customWidth="1"/>
    <col min="7677" max="7677" width="3.77734375" customWidth="1"/>
    <col min="7678" max="7678" width="30.77734375" customWidth="1"/>
    <col min="7679" max="7679" width="65.77734375" customWidth="1"/>
    <col min="7680" max="7681" width="10.77734375" customWidth="1"/>
    <col min="7682" max="7682" width="11.77734375" customWidth="1"/>
    <col min="7683" max="7687" width="10.77734375" customWidth="1"/>
    <col min="7688" max="7693" width="12.77734375" bestFit="1" customWidth="1"/>
    <col min="7694" max="7695" width="15.44140625" bestFit="1" customWidth="1"/>
    <col min="7696" max="7707" width="16" bestFit="1" customWidth="1"/>
    <col min="7708" max="7712" width="15" bestFit="1" customWidth="1"/>
    <col min="7713" max="7713" width="14" bestFit="1" customWidth="1"/>
    <col min="7714" max="7714" width="15" bestFit="1" customWidth="1"/>
    <col min="7715" max="7715" width="14" bestFit="1" customWidth="1"/>
    <col min="7928" max="7928" width="2.77734375" customWidth="1"/>
    <col min="7929" max="7929" width="1.21875" customWidth="1"/>
    <col min="7930" max="7932" width="0" hidden="1" customWidth="1"/>
    <col min="7933" max="7933" width="3.77734375" customWidth="1"/>
    <col min="7934" max="7934" width="30.77734375" customWidth="1"/>
    <col min="7935" max="7935" width="65.77734375" customWidth="1"/>
    <col min="7936" max="7937" width="10.77734375" customWidth="1"/>
    <col min="7938" max="7938" width="11.77734375" customWidth="1"/>
    <col min="7939" max="7943" width="10.77734375" customWidth="1"/>
    <col min="7944" max="7949" width="12.77734375" bestFit="1" customWidth="1"/>
    <col min="7950" max="7951" width="15.44140625" bestFit="1" customWidth="1"/>
    <col min="7952" max="7963" width="16" bestFit="1" customWidth="1"/>
    <col min="7964" max="7968" width="15" bestFit="1" customWidth="1"/>
    <col min="7969" max="7969" width="14" bestFit="1" customWidth="1"/>
    <col min="7970" max="7970" width="15" bestFit="1" customWidth="1"/>
    <col min="7971" max="7971" width="14" bestFit="1" customWidth="1"/>
    <col min="8184" max="8184" width="2.77734375" customWidth="1"/>
    <col min="8185" max="8185" width="1.21875" customWidth="1"/>
    <col min="8186" max="8188" width="0" hidden="1" customWidth="1"/>
    <col min="8189" max="8189" width="3.77734375" customWidth="1"/>
    <col min="8190" max="8190" width="30.77734375" customWidth="1"/>
    <col min="8191" max="8191" width="65.77734375" customWidth="1"/>
    <col min="8192" max="8193" width="10.77734375" customWidth="1"/>
    <col min="8194" max="8194" width="11.77734375" customWidth="1"/>
    <col min="8195" max="8199" width="10.77734375" customWidth="1"/>
    <col min="8200" max="8205" width="12.77734375" bestFit="1" customWidth="1"/>
    <col min="8206" max="8207" width="15.44140625" bestFit="1" customWidth="1"/>
    <col min="8208" max="8219" width="16" bestFit="1" customWidth="1"/>
    <col min="8220" max="8224" width="15" bestFit="1" customWidth="1"/>
    <col min="8225" max="8225" width="14" bestFit="1" customWidth="1"/>
    <col min="8226" max="8226" width="15" bestFit="1" customWidth="1"/>
    <col min="8227" max="8227" width="14" bestFit="1" customWidth="1"/>
    <col min="8440" max="8440" width="2.77734375" customWidth="1"/>
    <col min="8441" max="8441" width="1.21875" customWidth="1"/>
    <col min="8442" max="8444" width="0" hidden="1" customWidth="1"/>
    <col min="8445" max="8445" width="3.77734375" customWidth="1"/>
    <col min="8446" max="8446" width="30.77734375" customWidth="1"/>
    <col min="8447" max="8447" width="65.77734375" customWidth="1"/>
    <col min="8448" max="8449" width="10.77734375" customWidth="1"/>
    <col min="8450" max="8450" width="11.77734375" customWidth="1"/>
    <col min="8451" max="8455" width="10.77734375" customWidth="1"/>
    <col min="8456" max="8461" width="12.77734375" bestFit="1" customWidth="1"/>
    <col min="8462" max="8463" width="15.44140625" bestFit="1" customWidth="1"/>
    <col min="8464" max="8475" width="16" bestFit="1" customWidth="1"/>
    <col min="8476" max="8480" width="15" bestFit="1" customWidth="1"/>
    <col min="8481" max="8481" width="14" bestFit="1" customWidth="1"/>
    <col min="8482" max="8482" width="15" bestFit="1" customWidth="1"/>
    <col min="8483" max="8483" width="14" bestFit="1" customWidth="1"/>
    <col min="8696" max="8696" width="2.77734375" customWidth="1"/>
    <col min="8697" max="8697" width="1.21875" customWidth="1"/>
    <col min="8698" max="8700" width="0" hidden="1" customWidth="1"/>
    <col min="8701" max="8701" width="3.77734375" customWidth="1"/>
    <col min="8702" max="8702" width="30.77734375" customWidth="1"/>
    <col min="8703" max="8703" width="65.77734375" customWidth="1"/>
    <col min="8704" max="8705" width="10.77734375" customWidth="1"/>
    <col min="8706" max="8706" width="11.77734375" customWidth="1"/>
    <col min="8707" max="8711" width="10.77734375" customWidth="1"/>
    <col min="8712" max="8717" width="12.77734375" bestFit="1" customWidth="1"/>
    <col min="8718" max="8719" width="15.44140625" bestFit="1" customWidth="1"/>
    <col min="8720" max="8731" width="16" bestFit="1" customWidth="1"/>
    <col min="8732" max="8736" width="15" bestFit="1" customWidth="1"/>
    <col min="8737" max="8737" width="14" bestFit="1" customWidth="1"/>
    <col min="8738" max="8738" width="15" bestFit="1" customWidth="1"/>
    <col min="8739" max="8739" width="14" bestFit="1" customWidth="1"/>
    <col min="8952" max="8952" width="2.77734375" customWidth="1"/>
    <col min="8953" max="8953" width="1.21875" customWidth="1"/>
    <col min="8954" max="8956" width="0" hidden="1" customWidth="1"/>
    <col min="8957" max="8957" width="3.77734375" customWidth="1"/>
    <col min="8958" max="8958" width="30.77734375" customWidth="1"/>
    <col min="8959" max="8959" width="65.77734375" customWidth="1"/>
    <col min="8960" max="8961" width="10.77734375" customWidth="1"/>
    <col min="8962" max="8962" width="11.77734375" customWidth="1"/>
    <col min="8963" max="8967" width="10.77734375" customWidth="1"/>
    <col min="8968" max="8973" width="12.77734375" bestFit="1" customWidth="1"/>
    <col min="8974" max="8975" width="15.44140625" bestFit="1" customWidth="1"/>
    <col min="8976" max="8987" width="16" bestFit="1" customWidth="1"/>
    <col min="8988" max="8992" width="15" bestFit="1" customWidth="1"/>
    <col min="8993" max="8993" width="14" bestFit="1" customWidth="1"/>
    <col min="8994" max="8994" width="15" bestFit="1" customWidth="1"/>
    <col min="8995" max="8995" width="14" bestFit="1" customWidth="1"/>
    <col min="9208" max="9208" width="2.77734375" customWidth="1"/>
    <col min="9209" max="9209" width="1.21875" customWidth="1"/>
    <col min="9210" max="9212" width="0" hidden="1" customWidth="1"/>
    <col min="9213" max="9213" width="3.77734375" customWidth="1"/>
    <col min="9214" max="9214" width="30.77734375" customWidth="1"/>
    <col min="9215" max="9215" width="65.77734375" customWidth="1"/>
    <col min="9216" max="9217" width="10.77734375" customWidth="1"/>
    <col min="9218" max="9218" width="11.77734375" customWidth="1"/>
    <col min="9219" max="9223" width="10.77734375" customWidth="1"/>
    <col min="9224" max="9229" width="12.77734375" bestFit="1" customWidth="1"/>
    <col min="9230" max="9231" width="15.44140625" bestFit="1" customWidth="1"/>
    <col min="9232" max="9243" width="16" bestFit="1" customWidth="1"/>
    <col min="9244" max="9248" width="15" bestFit="1" customWidth="1"/>
    <col min="9249" max="9249" width="14" bestFit="1" customWidth="1"/>
    <col min="9250" max="9250" width="15" bestFit="1" customWidth="1"/>
    <col min="9251" max="9251" width="14" bestFit="1" customWidth="1"/>
    <col min="9464" max="9464" width="2.77734375" customWidth="1"/>
    <col min="9465" max="9465" width="1.21875" customWidth="1"/>
    <col min="9466" max="9468" width="0" hidden="1" customWidth="1"/>
    <col min="9469" max="9469" width="3.77734375" customWidth="1"/>
    <col min="9470" max="9470" width="30.77734375" customWidth="1"/>
    <col min="9471" max="9471" width="65.77734375" customWidth="1"/>
    <col min="9472" max="9473" width="10.77734375" customWidth="1"/>
    <col min="9474" max="9474" width="11.77734375" customWidth="1"/>
    <col min="9475" max="9479" width="10.77734375" customWidth="1"/>
    <col min="9480" max="9485" width="12.77734375" bestFit="1" customWidth="1"/>
    <col min="9486" max="9487" width="15.44140625" bestFit="1" customWidth="1"/>
    <col min="9488" max="9499" width="16" bestFit="1" customWidth="1"/>
    <col min="9500" max="9504" width="15" bestFit="1" customWidth="1"/>
    <col min="9505" max="9505" width="14" bestFit="1" customWidth="1"/>
    <col min="9506" max="9506" width="15" bestFit="1" customWidth="1"/>
    <col min="9507" max="9507" width="14" bestFit="1" customWidth="1"/>
    <col min="9720" max="9720" width="2.77734375" customWidth="1"/>
    <col min="9721" max="9721" width="1.21875" customWidth="1"/>
    <col min="9722" max="9724" width="0" hidden="1" customWidth="1"/>
    <col min="9725" max="9725" width="3.77734375" customWidth="1"/>
    <col min="9726" max="9726" width="30.77734375" customWidth="1"/>
    <col min="9727" max="9727" width="65.77734375" customWidth="1"/>
    <col min="9728" max="9729" width="10.77734375" customWidth="1"/>
    <col min="9730" max="9730" width="11.77734375" customWidth="1"/>
    <col min="9731" max="9735" width="10.77734375" customWidth="1"/>
    <col min="9736" max="9741" width="12.77734375" bestFit="1" customWidth="1"/>
    <col min="9742" max="9743" width="15.44140625" bestFit="1" customWidth="1"/>
    <col min="9744" max="9755" width="16" bestFit="1" customWidth="1"/>
    <col min="9756" max="9760" width="15" bestFit="1" customWidth="1"/>
    <col min="9761" max="9761" width="14" bestFit="1" customWidth="1"/>
    <col min="9762" max="9762" width="15" bestFit="1" customWidth="1"/>
    <col min="9763" max="9763" width="14" bestFit="1" customWidth="1"/>
    <col min="9976" max="9976" width="2.77734375" customWidth="1"/>
    <col min="9977" max="9977" width="1.21875" customWidth="1"/>
    <col min="9978" max="9980" width="0" hidden="1" customWidth="1"/>
    <col min="9981" max="9981" width="3.77734375" customWidth="1"/>
    <col min="9982" max="9982" width="30.77734375" customWidth="1"/>
    <col min="9983" max="9983" width="65.77734375" customWidth="1"/>
    <col min="9984" max="9985" width="10.77734375" customWidth="1"/>
    <col min="9986" max="9986" width="11.77734375" customWidth="1"/>
    <col min="9987" max="9991" width="10.77734375" customWidth="1"/>
    <col min="9992" max="9997" width="12.77734375" bestFit="1" customWidth="1"/>
    <col min="9998" max="9999" width="15.44140625" bestFit="1" customWidth="1"/>
    <col min="10000" max="10011" width="16" bestFit="1" customWidth="1"/>
    <col min="10012" max="10016" width="15" bestFit="1" customWidth="1"/>
    <col min="10017" max="10017" width="14" bestFit="1" customWidth="1"/>
    <col min="10018" max="10018" width="15" bestFit="1" customWidth="1"/>
    <col min="10019" max="10019" width="14" bestFit="1" customWidth="1"/>
    <col min="10232" max="10232" width="2.77734375" customWidth="1"/>
    <col min="10233" max="10233" width="1.21875" customWidth="1"/>
    <col min="10234" max="10236" width="0" hidden="1" customWidth="1"/>
    <col min="10237" max="10237" width="3.77734375" customWidth="1"/>
    <col min="10238" max="10238" width="30.77734375" customWidth="1"/>
    <col min="10239" max="10239" width="65.77734375" customWidth="1"/>
    <col min="10240" max="10241" width="10.77734375" customWidth="1"/>
    <col min="10242" max="10242" width="11.77734375" customWidth="1"/>
    <col min="10243" max="10247" width="10.77734375" customWidth="1"/>
    <col min="10248" max="10253" width="12.77734375" bestFit="1" customWidth="1"/>
    <col min="10254" max="10255" width="15.44140625" bestFit="1" customWidth="1"/>
    <col min="10256" max="10267" width="16" bestFit="1" customWidth="1"/>
    <col min="10268" max="10272" width="15" bestFit="1" customWidth="1"/>
    <col min="10273" max="10273" width="14" bestFit="1" customWidth="1"/>
    <col min="10274" max="10274" width="15" bestFit="1" customWidth="1"/>
    <col min="10275" max="10275" width="14" bestFit="1" customWidth="1"/>
    <col min="10488" max="10488" width="2.77734375" customWidth="1"/>
    <col min="10489" max="10489" width="1.21875" customWidth="1"/>
    <col min="10490" max="10492" width="0" hidden="1" customWidth="1"/>
    <col min="10493" max="10493" width="3.77734375" customWidth="1"/>
    <col min="10494" max="10494" width="30.77734375" customWidth="1"/>
    <col min="10495" max="10495" width="65.77734375" customWidth="1"/>
    <col min="10496" max="10497" width="10.77734375" customWidth="1"/>
    <col min="10498" max="10498" width="11.77734375" customWidth="1"/>
    <col min="10499" max="10503" width="10.77734375" customWidth="1"/>
    <col min="10504" max="10509" width="12.77734375" bestFit="1" customWidth="1"/>
    <col min="10510" max="10511" width="15.44140625" bestFit="1" customWidth="1"/>
    <col min="10512" max="10523" width="16" bestFit="1" customWidth="1"/>
    <col min="10524" max="10528" width="15" bestFit="1" customWidth="1"/>
    <col min="10529" max="10529" width="14" bestFit="1" customWidth="1"/>
    <col min="10530" max="10530" width="15" bestFit="1" customWidth="1"/>
    <col min="10531" max="10531" width="14" bestFit="1" customWidth="1"/>
    <col min="10744" max="10744" width="2.77734375" customWidth="1"/>
    <col min="10745" max="10745" width="1.21875" customWidth="1"/>
    <col min="10746" max="10748" width="0" hidden="1" customWidth="1"/>
    <col min="10749" max="10749" width="3.77734375" customWidth="1"/>
    <col min="10750" max="10750" width="30.77734375" customWidth="1"/>
    <col min="10751" max="10751" width="65.77734375" customWidth="1"/>
    <col min="10752" max="10753" width="10.77734375" customWidth="1"/>
    <col min="10754" max="10754" width="11.77734375" customWidth="1"/>
    <col min="10755" max="10759" width="10.77734375" customWidth="1"/>
    <col min="10760" max="10765" width="12.77734375" bestFit="1" customWidth="1"/>
    <col min="10766" max="10767" width="15.44140625" bestFit="1" customWidth="1"/>
    <col min="10768" max="10779" width="16" bestFit="1" customWidth="1"/>
    <col min="10780" max="10784" width="15" bestFit="1" customWidth="1"/>
    <col min="10785" max="10785" width="14" bestFit="1" customWidth="1"/>
    <col min="10786" max="10786" width="15" bestFit="1" customWidth="1"/>
    <col min="10787" max="10787" width="14" bestFit="1" customWidth="1"/>
    <col min="11000" max="11000" width="2.77734375" customWidth="1"/>
    <col min="11001" max="11001" width="1.21875" customWidth="1"/>
    <col min="11002" max="11004" width="0" hidden="1" customWidth="1"/>
    <col min="11005" max="11005" width="3.77734375" customWidth="1"/>
    <col min="11006" max="11006" width="30.77734375" customWidth="1"/>
    <col min="11007" max="11007" width="65.77734375" customWidth="1"/>
    <col min="11008" max="11009" width="10.77734375" customWidth="1"/>
    <col min="11010" max="11010" width="11.77734375" customWidth="1"/>
    <col min="11011" max="11015" width="10.77734375" customWidth="1"/>
    <col min="11016" max="11021" width="12.77734375" bestFit="1" customWidth="1"/>
    <col min="11022" max="11023" width="15.44140625" bestFit="1" customWidth="1"/>
    <col min="11024" max="11035" width="16" bestFit="1" customWidth="1"/>
    <col min="11036" max="11040" width="15" bestFit="1" customWidth="1"/>
    <col min="11041" max="11041" width="14" bestFit="1" customWidth="1"/>
    <col min="11042" max="11042" width="15" bestFit="1" customWidth="1"/>
    <col min="11043" max="11043" width="14" bestFit="1" customWidth="1"/>
    <col min="11256" max="11256" width="2.77734375" customWidth="1"/>
    <col min="11257" max="11257" width="1.21875" customWidth="1"/>
    <col min="11258" max="11260" width="0" hidden="1" customWidth="1"/>
    <col min="11261" max="11261" width="3.77734375" customWidth="1"/>
    <col min="11262" max="11262" width="30.77734375" customWidth="1"/>
    <col min="11263" max="11263" width="65.77734375" customWidth="1"/>
    <col min="11264" max="11265" width="10.77734375" customWidth="1"/>
    <col min="11266" max="11266" width="11.77734375" customWidth="1"/>
    <col min="11267" max="11271" width="10.77734375" customWidth="1"/>
    <col min="11272" max="11277" width="12.77734375" bestFit="1" customWidth="1"/>
    <col min="11278" max="11279" width="15.44140625" bestFit="1" customWidth="1"/>
    <col min="11280" max="11291" width="16" bestFit="1" customWidth="1"/>
    <col min="11292" max="11296" width="15" bestFit="1" customWidth="1"/>
    <col min="11297" max="11297" width="14" bestFit="1" customWidth="1"/>
    <col min="11298" max="11298" width="15" bestFit="1" customWidth="1"/>
    <col min="11299" max="11299" width="14" bestFit="1" customWidth="1"/>
    <col min="11512" max="11512" width="2.77734375" customWidth="1"/>
    <col min="11513" max="11513" width="1.21875" customWidth="1"/>
    <col min="11514" max="11516" width="0" hidden="1" customWidth="1"/>
    <col min="11517" max="11517" width="3.77734375" customWidth="1"/>
    <col min="11518" max="11518" width="30.77734375" customWidth="1"/>
    <col min="11519" max="11519" width="65.77734375" customWidth="1"/>
    <col min="11520" max="11521" width="10.77734375" customWidth="1"/>
    <col min="11522" max="11522" width="11.77734375" customWidth="1"/>
    <col min="11523" max="11527" width="10.77734375" customWidth="1"/>
    <col min="11528" max="11533" width="12.77734375" bestFit="1" customWidth="1"/>
    <col min="11534" max="11535" width="15.44140625" bestFit="1" customWidth="1"/>
    <col min="11536" max="11547" width="16" bestFit="1" customWidth="1"/>
    <col min="11548" max="11552" width="15" bestFit="1" customWidth="1"/>
    <col min="11553" max="11553" width="14" bestFit="1" customWidth="1"/>
    <col min="11554" max="11554" width="15" bestFit="1" customWidth="1"/>
    <col min="11555" max="11555" width="14" bestFit="1" customWidth="1"/>
    <col min="11768" max="11768" width="2.77734375" customWidth="1"/>
    <col min="11769" max="11769" width="1.21875" customWidth="1"/>
    <col min="11770" max="11772" width="0" hidden="1" customWidth="1"/>
    <col min="11773" max="11773" width="3.77734375" customWidth="1"/>
    <col min="11774" max="11774" width="30.77734375" customWidth="1"/>
    <col min="11775" max="11775" width="65.77734375" customWidth="1"/>
    <col min="11776" max="11777" width="10.77734375" customWidth="1"/>
    <col min="11778" max="11778" width="11.77734375" customWidth="1"/>
    <col min="11779" max="11783" width="10.77734375" customWidth="1"/>
    <col min="11784" max="11789" width="12.77734375" bestFit="1" customWidth="1"/>
    <col min="11790" max="11791" width="15.44140625" bestFit="1" customWidth="1"/>
    <col min="11792" max="11803" width="16" bestFit="1" customWidth="1"/>
    <col min="11804" max="11808" width="15" bestFit="1" customWidth="1"/>
    <col min="11809" max="11809" width="14" bestFit="1" customWidth="1"/>
    <col min="11810" max="11810" width="15" bestFit="1" customWidth="1"/>
    <col min="11811" max="11811" width="14" bestFit="1" customWidth="1"/>
    <col min="12024" max="12024" width="2.77734375" customWidth="1"/>
    <col min="12025" max="12025" width="1.21875" customWidth="1"/>
    <col min="12026" max="12028" width="0" hidden="1" customWidth="1"/>
    <col min="12029" max="12029" width="3.77734375" customWidth="1"/>
    <col min="12030" max="12030" width="30.77734375" customWidth="1"/>
    <col min="12031" max="12031" width="65.77734375" customWidth="1"/>
    <col min="12032" max="12033" width="10.77734375" customWidth="1"/>
    <col min="12034" max="12034" width="11.77734375" customWidth="1"/>
    <col min="12035" max="12039" width="10.77734375" customWidth="1"/>
    <col min="12040" max="12045" width="12.77734375" bestFit="1" customWidth="1"/>
    <col min="12046" max="12047" width="15.44140625" bestFit="1" customWidth="1"/>
    <col min="12048" max="12059" width="16" bestFit="1" customWidth="1"/>
    <col min="12060" max="12064" width="15" bestFit="1" customWidth="1"/>
    <col min="12065" max="12065" width="14" bestFit="1" customWidth="1"/>
    <col min="12066" max="12066" width="15" bestFit="1" customWidth="1"/>
    <col min="12067" max="12067" width="14" bestFit="1" customWidth="1"/>
    <col min="12280" max="12280" width="2.77734375" customWidth="1"/>
    <col min="12281" max="12281" width="1.21875" customWidth="1"/>
    <col min="12282" max="12284" width="0" hidden="1" customWidth="1"/>
    <col min="12285" max="12285" width="3.77734375" customWidth="1"/>
    <col min="12286" max="12286" width="30.77734375" customWidth="1"/>
    <col min="12287" max="12287" width="65.77734375" customWidth="1"/>
    <col min="12288" max="12289" width="10.77734375" customWidth="1"/>
    <col min="12290" max="12290" width="11.77734375" customWidth="1"/>
    <col min="12291" max="12295" width="10.77734375" customWidth="1"/>
    <col min="12296" max="12301" width="12.77734375" bestFit="1" customWidth="1"/>
    <col min="12302" max="12303" width="15.44140625" bestFit="1" customWidth="1"/>
    <col min="12304" max="12315" width="16" bestFit="1" customWidth="1"/>
    <col min="12316" max="12320" width="15" bestFit="1" customWidth="1"/>
    <col min="12321" max="12321" width="14" bestFit="1" customWidth="1"/>
    <col min="12322" max="12322" width="15" bestFit="1" customWidth="1"/>
    <col min="12323" max="12323" width="14" bestFit="1" customWidth="1"/>
    <col min="12536" max="12536" width="2.77734375" customWidth="1"/>
    <col min="12537" max="12537" width="1.21875" customWidth="1"/>
    <col min="12538" max="12540" width="0" hidden="1" customWidth="1"/>
    <col min="12541" max="12541" width="3.77734375" customWidth="1"/>
    <col min="12542" max="12542" width="30.77734375" customWidth="1"/>
    <col min="12543" max="12543" width="65.77734375" customWidth="1"/>
    <col min="12544" max="12545" width="10.77734375" customWidth="1"/>
    <col min="12546" max="12546" width="11.77734375" customWidth="1"/>
    <col min="12547" max="12551" width="10.77734375" customWidth="1"/>
    <col min="12552" max="12557" width="12.77734375" bestFit="1" customWidth="1"/>
    <col min="12558" max="12559" width="15.44140625" bestFit="1" customWidth="1"/>
    <col min="12560" max="12571" width="16" bestFit="1" customWidth="1"/>
    <col min="12572" max="12576" width="15" bestFit="1" customWidth="1"/>
    <col min="12577" max="12577" width="14" bestFit="1" customWidth="1"/>
    <col min="12578" max="12578" width="15" bestFit="1" customWidth="1"/>
    <col min="12579" max="12579" width="14" bestFit="1" customWidth="1"/>
    <col min="12792" max="12792" width="2.77734375" customWidth="1"/>
    <col min="12793" max="12793" width="1.21875" customWidth="1"/>
    <col min="12794" max="12796" width="0" hidden="1" customWidth="1"/>
    <col min="12797" max="12797" width="3.77734375" customWidth="1"/>
    <col min="12798" max="12798" width="30.77734375" customWidth="1"/>
    <col min="12799" max="12799" width="65.77734375" customWidth="1"/>
    <col min="12800" max="12801" width="10.77734375" customWidth="1"/>
    <col min="12802" max="12802" width="11.77734375" customWidth="1"/>
    <col min="12803" max="12807" width="10.77734375" customWidth="1"/>
    <col min="12808" max="12813" width="12.77734375" bestFit="1" customWidth="1"/>
    <col min="12814" max="12815" width="15.44140625" bestFit="1" customWidth="1"/>
    <col min="12816" max="12827" width="16" bestFit="1" customWidth="1"/>
    <col min="12828" max="12832" width="15" bestFit="1" customWidth="1"/>
    <col min="12833" max="12833" width="14" bestFit="1" customWidth="1"/>
    <col min="12834" max="12834" width="15" bestFit="1" customWidth="1"/>
    <col min="12835" max="12835" width="14" bestFit="1" customWidth="1"/>
    <col min="13048" max="13048" width="2.77734375" customWidth="1"/>
    <col min="13049" max="13049" width="1.21875" customWidth="1"/>
    <col min="13050" max="13052" width="0" hidden="1" customWidth="1"/>
    <col min="13053" max="13053" width="3.77734375" customWidth="1"/>
    <col min="13054" max="13054" width="30.77734375" customWidth="1"/>
    <col min="13055" max="13055" width="65.77734375" customWidth="1"/>
    <col min="13056" max="13057" width="10.77734375" customWidth="1"/>
    <col min="13058" max="13058" width="11.77734375" customWidth="1"/>
    <col min="13059" max="13063" width="10.77734375" customWidth="1"/>
    <col min="13064" max="13069" width="12.77734375" bestFit="1" customWidth="1"/>
    <col min="13070" max="13071" width="15.44140625" bestFit="1" customWidth="1"/>
    <col min="13072" max="13083" width="16" bestFit="1" customWidth="1"/>
    <col min="13084" max="13088" width="15" bestFit="1" customWidth="1"/>
    <col min="13089" max="13089" width="14" bestFit="1" customWidth="1"/>
    <col min="13090" max="13090" width="15" bestFit="1" customWidth="1"/>
    <col min="13091" max="13091" width="14" bestFit="1" customWidth="1"/>
    <col min="13304" max="13304" width="2.77734375" customWidth="1"/>
    <col min="13305" max="13305" width="1.21875" customWidth="1"/>
    <col min="13306" max="13308" width="0" hidden="1" customWidth="1"/>
    <col min="13309" max="13309" width="3.77734375" customWidth="1"/>
    <col min="13310" max="13310" width="30.77734375" customWidth="1"/>
    <col min="13311" max="13311" width="65.77734375" customWidth="1"/>
    <col min="13312" max="13313" width="10.77734375" customWidth="1"/>
    <col min="13314" max="13314" width="11.77734375" customWidth="1"/>
    <col min="13315" max="13319" width="10.77734375" customWidth="1"/>
    <col min="13320" max="13325" width="12.77734375" bestFit="1" customWidth="1"/>
    <col min="13326" max="13327" width="15.44140625" bestFit="1" customWidth="1"/>
    <col min="13328" max="13339" width="16" bestFit="1" customWidth="1"/>
    <col min="13340" max="13344" width="15" bestFit="1" customWidth="1"/>
    <col min="13345" max="13345" width="14" bestFit="1" customWidth="1"/>
    <col min="13346" max="13346" width="15" bestFit="1" customWidth="1"/>
    <col min="13347" max="13347" width="14" bestFit="1" customWidth="1"/>
    <col min="13560" max="13560" width="2.77734375" customWidth="1"/>
    <col min="13561" max="13561" width="1.21875" customWidth="1"/>
    <col min="13562" max="13564" width="0" hidden="1" customWidth="1"/>
    <col min="13565" max="13565" width="3.77734375" customWidth="1"/>
    <col min="13566" max="13566" width="30.77734375" customWidth="1"/>
    <col min="13567" max="13567" width="65.77734375" customWidth="1"/>
    <col min="13568" max="13569" width="10.77734375" customWidth="1"/>
    <col min="13570" max="13570" width="11.77734375" customWidth="1"/>
    <col min="13571" max="13575" width="10.77734375" customWidth="1"/>
    <col min="13576" max="13581" width="12.77734375" bestFit="1" customWidth="1"/>
    <col min="13582" max="13583" width="15.44140625" bestFit="1" customWidth="1"/>
    <col min="13584" max="13595" width="16" bestFit="1" customWidth="1"/>
    <col min="13596" max="13600" width="15" bestFit="1" customWidth="1"/>
    <col min="13601" max="13601" width="14" bestFit="1" customWidth="1"/>
    <col min="13602" max="13602" width="15" bestFit="1" customWidth="1"/>
    <col min="13603" max="13603" width="14" bestFit="1" customWidth="1"/>
    <col min="13816" max="13816" width="2.77734375" customWidth="1"/>
    <col min="13817" max="13817" width="1.21875" customWidth="1"/>
    <col min="13818" max="13820" width="0" hidden="1" customWidth="1"/>
    <col min="13821" max="13821" width="3.77734375" customWidth="1"/>
    <col min="13822" max="13822" width="30.77734375" customWidth="1"/>
    <col min="13823" max="13823" width="65.77734375" customWidth="1"/>
    <col min="13824" max="13825" width="10.77734375" customWidth="1"/>
    <col min="13826" max="13826" width="11.77734375" customWidth="1"/>
    <col min="13827" max="13831" width="10.77734375" customWidth="1"/>
    <col min="13832" max="13837" width="12.77734375" bestFit="1" customWidth="1"/>
    <col min="13838" max="13839" width="15.44140625" bestFit="1" customWidth="1"/>
    <col min="13840" max="13851" width="16" bestFit="1" customWidth="1"/>
    <col min="13852" max="13856" width="15" bestFit="1" customWidth="1"/>
    <col min="13857" max="13857" width="14" bestFit="1" customWidth="1"/>
    <col min="13858" max="13858" width="15" bestFit="1" customWidth="1"/>
    <col min="13859" max="13859" width="14" bestFit="1" customWidth="1"/>
    <col min="14072" max="14072" width="2.77734375" customWidth="1"/>
    <col min="14073" max="14073" width="1.21875" customWidth="1"/>
    <col min="14074" max="14076" width="0" hidden="1" customWidth="1"/>
    <col min="14077" max="14077" width="3.77734375" customWidth="1"/>
    <col min="14078" max="14078" width="30.77734375" customWidth="1"/>
    <col min="14079" max="14079" width="65.77734375" customWidth="1"/>
    <col min="14080" max="14081" width="10.77734375" customWidth="1"/>
    <col min="14082" max="14082" width="11.77734375" customWidth="1"/>
    <col min="14083" max="14087" width="10.77734375" customWidth="1"/>
    <col min="14088" max="14093" width="12.77734375" bestFit="1" customWidth="1"/>
    <col min="14094" max="14095" width="15.44140625" bestFit="1" customWidth="1"/>
    <col min="14096" max="14107" width="16" bestFit="1" customWidth="1"/>
    <col min="14108" max="14112" width="15" bestFit="1" customWidth="1"/>
    <col min="14113" max="14113" width="14" bestFit="1" customWidth="1"/>
    <col min="14114" max="14114" width="15" bestFit="1" customWidth="1"/>
    <col min="14115" max="14115" width="14" bestFit="1" customWidth="1"/>
    <col min="14328" max="14328" width="2.77734375" customWidth="1"/>
    <col min="14329" max="14329" width="1.21875" customWidth="1"/>
    <col min="14330" max="14332" width="0" hidden="1" customWidth="1"/>
    <col min="14333" max="14333" width="3.77734375" customWidth="1"/>
    <col min="14334" max="14334" width="30.77734375" customWidth="1"/>
    <col min="14335" max="14335" width="65.77734375" customWidth="1"/>
    <col min="14336" max="14337" width="10.77734375" customWidth="1"/>
    <col min="14338" max="14338" width="11.77734375" customWidth="1"/>
    <col min="14339" max="14343" width="10.77734375" customWidth="1"/>
    <col min="14344" max="14349" width="12.77734375" bestFit="1" customWidth="1"/>
    <col min="14350" max="14351" width="15.44140625" bestFit="1" customWidth="1"/>
    <col min="14352" max="14363" width="16" bestFit="1" customWidth="1"/>
    <col min="14364" max="14368" width="15" bestFit="1" customWidth="1"/>
    <col min="14369" max="14369" width="14" bestFit="1" customWidth="1"/>
    <col min="14370" max="14370" width="15" bestFit="1" customWidth="1"/>
    <col min="14371" max="14371" width="14" bestFit="1" customWidth="1"/>
    <col min="14584" max="14584" width="2.77734375" customWidth="1"/>
    <col min="14585" max="14585" width="1.21875" customWidth="1"/>
    <col min="14586" max="14588" width="0" hidden="1" customWidth="1"/>
    <col min="14589" max="14589" width="3.77734375" customWidth="1"/>
    <col min="14590" max="14590" width="30.77734375" customWidth="1"/>
    <col min="14591" max="14591" width="65.77734375" customWidth="1"/>
    <col min="14592" max="14593" width="10.77734375" customWidth="1"/>
    <col min="14594" max="14594" width="11.77734375" customWidth="1"/>
    <col min="14595" max="14599" width="10.77734375" customWidth="1"/>
    <col min="14600" max="14605" width="12.77734375" bestFit="1" customWidth="1"/>
    <col min="14606" max="14607" width="15.44140625" bestFit="1" customWidth="1"/>
    <col min="14608" max="14619" width="16" bestFit="1" customWidth="1"/>
    <col min="14620" max="14624" width="15" bestFit="1" customWidth="1"/>
    <col min="14625" max="14625" width="14" bestFit="1" customWidth="1"/>
    <col min="14626" max="14626" width="15" bestFit="1" customWidth="1"/>
    <col min="14627" max="14627" width="14" bestFit="1" customWidth="1"/>
    <col min="14840" max="14840" width="2.77734375" customWidth="1"/>
    <col min="14841" max="14841" width="1.21875" customWidth="1"/>
    <col min="14842" max="14844" width="0" hidden="1" customWidth="1"/>
    <col min="14845" max="14845" width="3.77734375" customWidth="1"/>
    <col min="14846" max="14846" width="30.77734375" customWidth="1"/>
    <col min="14847" max="14847" width="65.77734375" customWidth="1"/>
    <col min="14848" max="14849" width="10.77734375" customWidth="1"/>
    <col min="14850" max="14850" width="11.77734375" customWidth="1"/>
    <col min="14851" max="14855" width="10.77734375" customWidth="1"/>
    <col min="14856" max="14861" width="12.77734375" bestFit="1" customWidth="1"/>
    <col min="14862" max="14863" width="15.44140625" bestFit="1" customWidth="1"/>
    <col min="14864" max="14875" width="16" bestFit="1" customWidth="1"/>
    <col min="14876" max="14880" width="15" bestFit="1" customWidth="1"/>
    <col min="14881" max="14881" width="14" bestFit="1" customWidth="1"/>
    <col min="14882" max="14882" width="15" bestFit="1" customWidth="1"/>
    <col min="14883" max="14883" width="14" bestFit="1" customWidth="1"/>
    <col min="15096" max="15096" width="2.77734375" customWidth="1"/>
    <col min="15097" max="15097" width="1.21875" customWidth="1"/>
    <col min="15098" max="15100" width="0" hidden="1" customWidth="1"/>
    <col min="15101" max="15101" width="3.77734375" customWidth="1"/>
    <col min="15102" max="15102" width="30.77734375" customWidth="1"/>
    <col min="15103" max="15103" width="65.77734375" customWidth="1"/>
    <col min="15104" max="15105" width="10.77734375" customWidth="1"/>
    <col min="15106" max="15106" width="11.77734375" customWidth="1"/>
    <col min="15107" max="15111" width="10.77734375" customWidth="1"/>
    <col min="15112" max="15117" width="12.77734375" bestFit="1" customWidth="1"/>
    <col min="15118" max="15119" width="15.44140625" bestFit="1" customWidth="1"/>
    <col min="15120" max="15131" width="16" bestFit="1" customWidth="1"/>
    <col min="15132" max="15136" width="15" bestFit="1" customWidth="1"/>
    <col min="15137" max="15137" width="14" bestFit="1" customWidth="1"/>
    <col min="15138" max="15138" width="15" bestFit="1" customWidth="1"/>
    <col min="15139" max="15139" width="14" bestFit="1" customWidth="1"/>
    <col min="15352" max="15352" width="2.77734375" customWidth="1"/>
    <col min="15353" max="15353" width="1.21875" customWidth="1"/>
    <col min="15354" max="15356" width="0" hidden="1" customWidth="1"/>
    <col min="15357" max="15357" width="3.77734375" customWidth="1"/>
    <col min="15358" max="15358" width="30.77734375" customWidth="1"/>
    <col min="15359" max="15359" width="65.77734375" customWidth="1"/>
    <col min="15360" max="15361" width="10.77734375" customWidth="1"/>
    <col min="15362" max="15362" width="11.77734375" customWidth="1"/>
    <col min="15363" max="15367" width="10.77734375" customWidth="1"/>
    <col min="15368" max="15373" width="12.77734375" bestFit="1" customWidth="1"/>
    <col min="15374" max="15375" width="15.44140625" bestFit="1" customWidth="1"/>
    <col min="15376" max="15387" width="16" bestFit="1" customWidth="1"/>
    <col min="15388" max="15392" width="15" bestFit="1" customWidth="1"/>
    <col min="15393" max="15393" width="14" bestFit="1" customWidth="1"/>
    <col min="15394" max="15394" width="15" bestFit="1" customWidth="1"/>
    <col min="15395" max="15395" width="14" bestFit="1" customWidth="1"/>
    <col min="15608" max="15608" width="2.77734375" customWidth="1"/>
    <col min="15609" max="15609" width="1.21875" customWidth="1"/>
    <col min="15610" max="15612" width="0" hidden="1" customWidth="1"/>
    <col min="15613" max="15613" width="3.77734375" customWidth="1"/>
    <col min="15614" max="15614" width="30.77734375" customWidth="1"/>
    <col min="15615" max="15615" width="65.77734375" customWidth="1"/>
    <col min="15616" max="15617" width="10.77734375" customWidth="1"/>
    <col min="15618" max="15618" width="11.77734375" customWidth="1"/>
    <col min="15619" max="15623" width="10.77734375" customWidth="1"/>
    <col min="15624" max="15629" width="12.77734375" bestFit="1" customWidth="1"/>
    <col min="15630" max="15631" width="15.44140625" bestFit="1" customWidth="1"/>
    <col min="15632" max="15643" width="16" bestFit="1" customWidth="1"/>
    <col min="15644" max="15648" width="15" bestFit="1" customWidth="1"/>
    <col min="15649" max="15649" width="14" bestFit="1" customWidth="1"/>
    <col min="15650" max="15650" width="15" bestFit="1" customWidth="1"/>
    <col min="15651" max="15651" width="14" bestFit="1" customWidth="1"/>
    <col min="15864" max="15864" width="2.77734375" customWidth="1"/>
    <col min="15865" max="15865" width="1.21875" customWidth="1"/>
    <col min="15866" max="15868" width="0" hidden="1" customWidth="1"/>
    <col min="15869" max="15869" width="3.77734375" customWidth="1"/>
    <col min="15870" max="15870" width="30.77734375" customWidth="1"/>
    <col min="15871" max="15871" width="65.77734375" customWidth="1"/>
    <col min="15872" max="15873" width="10.77734375" customWidth="1"/>
    <col min="15874" max="15874" width="11.77734375" customWidth="1"/>
    <col min="15875" max="15879" width="10.77734375" customWidth="1"/>
    <col min="15880" max="15885" width="12.77734375" bestFit="1" customWidth="1"/>
    <col min="15886" max="15887" width="15.44140625" bestFit="1" customWidth="1"/>
    <col min="15888" max="15899" width="16" bestFit="1" customWidth="1"/>
    <col min="15900" max="15904" width="15" bestFit="1" customWidth="1"/>
    <col min="15905" max="15905" width="14" bestFit="1" customWidth="1"/>
    <col min="15906" max="15906" width="15" bestFit="1" customWidth="1"/>
    <col min="15907" max="15907" width="14" bestFit="1" customWidth="1"/>
    <col min="16120" max="16120" width="2.77734375" customWidth="1"/>
    <col min="16121" max="16121" width="1.21875" customWidth="1"/>
    <col min="16122" max="16124" width="0" hidden="1" customWidth="1"/>
    <col min="16125" max="16125" width="3.77734375" customWidth="1"/>
    <col min="16126" max="16126" width="30.77734375" customWidth="1"/>
    <col min="16127" max="16127" width="65.77734375" customWidth="1"/>
    <col min="16128" max="16129" width="10.77734375" customWidth="1"/>
    <col min="16130" max="16130" width="11.77734375" customWidth="1"/>
    <col min="16131" max="16135" width="10.77734375" customWidth="1"/>
    <col min="16136" max="16141" width="12.77734375" bestFit="1" customWidth="1"/>
    <col min="16142" max="16143" width="15.44140625" bestFit="1" customWidth="1"/>
    <col min="16144" max="16155" width="16" bestFit="1" customWidth="1"/>
    <col min="16156" max="16160" width="15" bestFit="1" customWidth="1"/>
    <col min="16161" max="16161" width="14" bestFit="1" customWidth="1"/>
    <col min="16162" max="16162" width="15" bestFit="1" customWidth="1"/>
    <col min="16163" max="16163" width="14" bestFit="1" customWidth="1"/>
  </cols>
  <sheetData>
    <row r="2" spans="1:13" ht="18">
      <c r="A2" s="192" t="s">
        <v>270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4" spans="1:13" ht="51" customHeight="1">
      <c r="A4" s="1" t="s">
        <v>0</v>
      </c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6</v>
      </c>
      <c r="I4" s="56" t="s">
        <v>267</v>
      </c>
      <c r="J4" s="3" t="s">
        <v>7</v>
      </c>
      <c r="K4" s="3" t="s">
        <v>8</v>
      </c>
    </row>
    <row r="5" spans="1:13">
      <c r="A5" s="1" t="s">
        <v>9</v>
      </c>
      <c r="B5" s="1" t="s">
        <v>0</v>
      </c>
      <c r="C5" s="4" t="s">
        <v>10</v>
      </c>
      <c r="D5" s="4" t="s">
        <v>10</v>
      </c>
      <c r="E5" s="4" t="s">
        <v>10</v>
      </c>
      <c r="F5" s="4" t="s">
        <v>10</v>
      </c>
      <c r="G5" s="4" t="s">
        <v>10</v>
      </c>
      <c r="H5" s="4"/>
      <c r="I5" s="4"/>
      <c r="J5" s="4"/>
      <c r="K5" s="4"/>
    </row>
    <row r="6" spans="1:13" s="12" customFormat="1">
      <c r="A6" s="9" t="s">
        <v>11</v>
      </c>
      <c r="B6" s="10" t="s">
        <v>12</v>
      </c>
      <c r="C6" s="11" t="e">
        <f>SUM(C7)</f>
        <v>#REF!</v>
      </c>
      <c r="D6" s="11" t="e">
        <f t="shared" ref="D6:K6" si="0">SUM(D7)</f>
        <v>#REF!</v>
      </c>
      <c r="E6" s="11" t="e">
        <f t="shared" si="0"/>
        <v>#REF!</v>
      </c>
      <c r="F6" s="11" t="e">
        <f t="shared" si="0"/>
        <v>#REF!</v>
      </c>
      <c r="G6" s="11" t="e">
        <f t="shared" si="0"/>
        <v>#REF!</v>
      </c>
      <c r="H6" s="11">
        <f t="shared" si="0"/>
        <v>425529200</v>
      </c>
      <c r="I6" s="11">
        <f t="shared" si="0"/>
        <v>109368050</v>
      </c>
      <c r="J6" s="11">
        <f t="shared" si="0"/>
        <v>231427500</v>
      </c>
      <c r="K6" s="11">
        <f t="shared" si="0"/>
        <v>206870000</v>
      </c>
    </row>
    <row r="7" spans="1:13" s="8" customFormat="1">
      <c r="A7" s="13" t="s">
        <v>13</v>
      </c>
      <c r="B7" s="14" t="s">
        <v>14</v>
      </c>
      <c r="C7" s="15" t="e">
        <f>SUBTOTAL(9,C8,C49,C82,C92,C96,C134,C174,C178,C182,C217,C245,C255,C269,C283,C338,C352,C380,C412,C420,C439,C443,C475,C480,C485,C500,C504,C518,C530,C560,C570,C584,C592,C604,C86)</f>
        <v>#REF!</v>
      </c>
      <c r="D7" s="15" t="e">
        <f>SUBTOTAL(9,D8,D49,D82,D92,D96,D134,D174,D178,D182,D217,D245,D255,D269,D283,D338,D352,D380,D412,D420,D439,D443,D475,D480,D485,D500,D504,D518,D530,D560,D570,D584,D592,D604,D86)</f>
        <v>#REF!</v>
      </c>
      <c r="E7" s="15" t="e">
        <f>SUBTOTAL(9,E8,E49,E82,E92,E96,E134,E174,E178,E182,E217,E245,E255,E269,E283,E338,E352,E380,E412,E420,E439,E443,E475,E480,E485,E500,E504,E518,E530,E560,E570,E584,E592,E604,E86)</f>
        <v>#REF!</v>
      </c>
      <c r="F7" s="15" t="e">
        <f>SUBTOTAL(9,F8,F49,F82,F92,F96,F134,F174,F178,F182,F217,F245,F255,F269,F283,F338,F352,F380,F412,F420,F439,F443,F475,F480,F485,F500,F504,F518,F530,F560,F570,F584,F592,F604,F86)</f>
        <v>#REF!</v>
      </c>
      <c r="G7" s="15" t="e">
        <f>SUBTOTAL(9,G8,G49,G82,G92,G96,G134,G174,G178,G182,G217,G245,G255,G269,G283,G338,G352,G380,G412,G420,G439,G443,G475,G480,G485,G500,G504,G518,G530,G560,G570,G584,G592,G604,G86)</f>
        <v>#REF!</v>
      </c>
      <c r="H7" s="15">
        <f>SUBTOTAL(9,H8,H49,H82,H86,H92,H96,H134,H174,H178,H182,H217,H245,H255,H269,H283,H307,H338,H352,H380,H412,H420,H439,H443,H475,H480,H485,H500,H504,H518,H530,H560,H570,H584,H592,H604)</f>
        <v>425529200</v>
      </c>
      <c r="I7" s="15">
        <f>SUBTOTAL(9,I8,I49,I82,I92,I96,I134,I174,I178,I182,I217,I245,I255,I269,I283,I338,I352,I380,I412,I420,I439,I443,I475,I480,I485,I500,I504,I518,I530,I560,I570,I584,I592,I604,I86)</f>
        <v>109368050</v>
      </c>
      <c r="J7" s="15">
        <f>SUBTOTAL(9,J8,J49,J82,J86,J92,J96,J134,J174,J178,J182,J217,J245,J255,J269,J283,J307,J338,J352,J380,J412,J420,J439,J443,J475,J480,J485,J500,J504,J518,J530,J560,J570,J584,J592,J604)</f>
        <v>231427500</v>
      </c>
      <c r="K7" s="15">
        <f>SUBTOTAL(9,K8,K49,K82,K86,K92,K96,K134,K174,K178,K182,K217,K245,K255,K269,K283,K307,K338,K352,K380,K412,K420,K439,K443,K475,K480,K485,K500,K504,K518,K530,K560,K570,K584,K592,K604)</f>
        <v>206870000</v>
      </c>
    </row>
    <row r="8" spans="1:13" s="19" customFormat="1" ht="15.75" customHeight="1">
      <c r="A8" s="91" t="s">
        <v>25</v>
      </c>
      <c r="B8" s="92" t="s">
        <v>26</v>
      </c>
      <c r="C8" s="15">
        <f>SUM(C9,C12,C15,C41,C45)</f>
        <v>46029000</v>
      </c>
      <c r="D8" s="15">
        <f>SUM(D9,D12,D15,D41,D45)</f>
        <v>46029000</v>
      </c>
      <c r="E8" s="15">
        <f>SUM(E9,E12,E15,E41,E45)</f>
        <v>16158514.91</v>
      </c>
      <c r="F8" s="15">
        <f>SUM(F9,F12,F15,F41,F45)</f>
        <v>46039000</v>
      </c>
      <c r="G8" s="15">
        <f>SUM(G9,G12,G15,G41,G45)</f>
        <v>46039000</v>
      </c>
      <c r="H8" s="15">
        <f>SUM(H9,H12,H15,H37,H41,H45)</f>
        <v>51501000</v>
      </c>
      <c r="I8" s="15">
        <f>SUM(I9,I12,I15,I41,I45)</f>
        <v>4742000</v>
      </c>
      <c r="J8" s="15">
        <f t="shared" ref="J8:K8" si="1">SUM(J9,J12,J15,J37,J41,J45)</f>
        <v>51501000</v>
      </c>
      <c r="K8" s="15">
        <f t="shared" si="1"/>
        <v>51501000</v>
      </c>
      <c r="M8" s="126"/>
    </row>
    <row r="9" spans="1:13" s="26" customFormat="1">
      <c r="A9" s="73" t="s">
        <v>27</v>
      </c>
      <c r="B9" s="74" t="s">
        <v>107</v>
      </c>
      <c r="C9" s="75">
        <f>SUM(C10)</f>
        <v>2600000</v>
      </c>
      <c r="D9" s="75">
        <f t="shared" ref="D9:K10" si="2">SUM(D10)</f>
        <v>2600000</v>
      </c>
      <c r="E9" s="75">
        <f t="shared" si="2"/>
        <v>613177.82999999996</v>
      </c>
      <c r="F9" s="75">
        <f t="shared" si="2"/>
        <v>2600000</v>
      </c>
      <c r="G9" s="75">
        <f t="shared" si="2"/>
        <v>2600000</v>
      </c>
      <c r="H9" s="75">
        <f t="shared" si="2"/>
        <v>3200000</v>
      </c>
      <c r="I9" s="75">
        <f t="shared" si="2"/>
        <v>600000</v>
      </c>
      <c r="J9" s="75">
        <f t="shared" si="2"/>
        <v>3200000</v>
      </c>
      <c r="K9" s="75">
        <f t="shared" si="2"/>
        <v>3200000</v>
      </c>
    </row>
    <row r="10" spans="1:13" s="26" customFormat="1">
      <c r="A10" s="23" t="s">
        <v>39</v>
      </c>
      <c r="B10" s="24" t="s">
        <v>40</v>
      </c>
      <c r="C10" s="76">
        <f>SUM(C11)</f>
        <v>2600000</v>
      </c>
      <c r="D10" s="76">
        <f t="shared" si="2"/>
        <v>2600000</v>
      </c>
      <c r="E10" s="76">
        <f t="shared" si="2"/>
        <v>613177.82999999996</v>
      </c>
      <c r="F10" s="76">
        <f t="shared" si="2"/>
        <v>2600000</v>
      </c>
      <c r="G10" s="76">
        <f t="shared" si="2"/>
        <v>2600000</v>
      </c>
      <c r="H10" s="76">
        <f t="shared" si="2"/>
        <v>3200000</v>
      </c>
      <c r="I10" s="76">
        <f t="shared" si="2"/>
        <v>600000</v>
      </c>
      <c r="J10" s="76">
        <f t="shared" si="2"/>
        <v>3200000</v>
      </c>
      <c r="K10" s="76">
        <f t="shared" si="2"/>
        <v>3200000</v>
      </c>
    </row>
    <row r="11" spans="1:13" s="8" customFormat="1">
      <c r="A11" s="27" t="s">
        <v>51</v>
      </c>
      <c r="B11" s="27" t="s">
        <v>52</v>
      </c>
      <c r="C11" s="28">
        <v>2600000</v>
      </c>
      <c r="D11" s="28">
        <v>2600000</v>
      </c>
      <c r="E11" s="29">
        <v>613177.82999999996</v>
      </c>
      <c r="F11" s="28">
        <v>2600000</v>
      </c>
      <c r="G11" s="28">
        <v>2600000</v>
      </c>
      <c r="H11" s="28">
        <v>3200000</v>
      </c>
      <c r="I11" s="28">
        <f t="shared" ref="I11:I76" si="3">H11-D11</f>
        <v>600000</v>
      </c>
      <c r="J11" s="28">
        <v>3200000</v>
      </c>
      <c r="K11" s="28">
        <v>3200000</v>
      </c>
    </row>
    <row r="12" spans="1:13" s="8" customFormat="1">
      <c r="A12" s="77" t="s">
        <v>108</v>
      </c>
      <c r="B12" s="78" t="s">
        <v>109</v>
      </c>
      <c r="C12" s="79">
        <f>SUM(C13)</f>
        <v>43000000</v>
      </c>
      <c r="D12" s="79">
        <f t="shared" ref="D12:K13" si="4">SUM(D13)</f>
        <v>43000000</v>
      </c>
      <c r="E12" s="79">
        <f t="shared" si="4"/>
        <v>15384116.84</v>
      </c>
      <c r="F12" s="79">
        <f t="shared" si="4"/>
        <v>43000000</v>
      </c>
      <c r="G12" s="79">
        <f t="shared" si="4"/>
        <v>43000000</v>
      </c>
      <c r="H12" s="79">
        <f t="shared" si="4"/>
        <v>47000000</v>
      </c>
      <c r="I12" s="79">
        <f t="shared" si="4"/>
        <v>4000000</v>
      </c>
      <c r="J12" s="79">
        <f t="shared" si="4"/>
        <v>47000000</v>
      </c>
      <c r="K12" s="79">
        <f t="shared" si="4"/>
        <v>47000000</v>
      </c>
    </row>
    <row r="13" spans="1:13" s="8" customFormat="1">
      <c r="A13" s="30" t="s">
        <v>39</v>
      </c>
      <c r="B13" s="31" t="s">
        <v>40</v>
      </c>
      <c r="C13" s="32">
        <f>SUM(C14)</f>
        <v>43000000</v>
      </c>
      <c r="D13" s="32">
        <f t="shared" si="4"/>
        <v>43000000</v>
      </c>
      <c r="E13" s="32">
        <f t="shared" si="4"/>
        <v>15384116.84</v>
      </c>
      <c r="F13" s="32">
        <f t="shared" si="4"/>
        <v>43000000</v>
      </c>
      <c r="G13" s="32">
        <f t="shared" si="4"/>
        <v>43000000</v>
      </c>
      <c r="H13" s="32">
        <f t="shared" si="4"/>
        <v>47000000</v>
      </c>
      <c r="I13" s="32">
        <f t="shared" si="4"/>
        <v>4000000</v>
      </c>
      <c r="J13" s="32">
        <f t="shared" si="4"/>
        <v>47000000</v>
      </c>
      <c r="K13" s="32">
        <f t="shared" si="4"/>
        <v>47000000</v>
      </c>
    </row>
    <row r="14" spans="1:13" s="8" customFormat="1">
      <c r="A14" s="27" t="s">
        <v>75</v>
      </c>
      <c r="B14" s="27" t="s">
        <v>76</v>
      </c>
      <c r="C14" s="28">
        <v>43000000</v>
      </c>
      <c r="D14" s="28">
        <v>43000000</v>
      </c>
      <c r="E14" s="29">
        <v>15384116.84</v>
      </c>
      <c r="F14" s="28">
        <v>43000000</v>
      </c>
      <c r="G14" s="28">
        <v>43000000</v>
      </c>
      <c r="H14" s="28">
        <v>47000000</v>
      </c>
      <c r="I14" s="28">
        <f t="shared" si="3"/>
        <v>4000000</v>
      </c>
      <c r="J14" s="28">
        <v>47000000</v>
      </c>
      <c r="K14" s="28">
        <v>47000000</v>
      </c>
    </row>
    <row r="15" spans="1:13" s="8" customFormat="1">
      <c r="A15" s="67" t="s">
        <v>307</v>
      </c>
      <c r="B15" s="68" t="s">
        <v>320</v>
      </c>
      <c r="C15" s="69">
        <f>SUM(C16,C18,C30,C32)</f>
        <v>217000</v>
      </c>
      <c r="D15" s="69">
        <f t="shared" ref="D15:K15" si="5">SUM(D16,D18,D30,D32)</f>
        <v>217000</v>
      </c>
      <c r="E15" s="69">
        <f t="shared" si="5"/>
        <v>161220.24</v>
      </c>
      <c r="F15" s="69">
        <f t="shared" si="5"/>
        <v>217000</v>
      </c>
      <c r="G15" s="69">
        <f t="shared" si="5"/>
        <v>217000</v>
      </c>
      <c r="H15" s="69">
        <f t="shared" si="5"/>
        <v>359000</v>
      </c>
      <c r="I15" s="69">
        <f t="shared" si="5"/>
        <v>142000</v>
      </c>
      <c r="J15" s="69">
        <f t="shared" si="5"/>
        <v>359000</v>
      </c>
      <c r="K15" s="69">
        <f t="shared" si="5"/>
        <v>359000</v>
      </c>
    </row>
    <row r="16" spans="1:13" s="8" customFormat="1">
      <c r="A16" s="30" t="s">
        <v>27</v>
      </c>
      <c r="B16" s="31" t="s">
        <v>28</v>
      </c>
      <c r="C16" s="32">
        <f>SUM(C17)</f>
        <v>7000</v>
      </c>
      <c r="D16" s="32">
        <f t="shared" ref="D16:K16" si="6">SUM(D17)</f>
        <v>7000</v>
      </c>
      <c r="E16" s="32">
        <f t="shared" si="6"/>
        <v>2586.56</v>
      </c>
      <c r="F16" s="32">
        <f t="shared" si="6"/>
        <v>7000</v>
      </c>
      <c r="G16" s="32">
        <f t="shared" si="6"/>
        <v>7000</v>
      </c>
      <c r="H16" s="32">
        <f t="shared" si="6"/>
        <v>40000</v>
      </c>
      <c r="I16" s="32">
        <f t="shared" si="6"/>
        <v>33000</v>
      </c>
      <c r="J16" s="32">
        <f t="shared" si="6"/>
        <v>40000</v>
      </c>
      <c r="K16" s="32">
        <f t="shared" si="6"/>
        <v>40000</v>
      </c>
    </row>
    <row r="17" spans="1:11" s="8" customFormat="1">
      <c r="A17" s="27" t="s">
        <v>29</v>
      </c>
      <c r="B17" s="27" t="s">
        <v>30</v>
      </c>
      <c r="C17" s="28">
        <v>7000</v>
      </c>
      <c r="D17" s="28">
        <v>7000</v>
      </c>
      <c r="E17" s="29">
        <v>2586.56</v>
      </c>
      <c r="F17" s="28">
        <v>7000</v>
      </c>
      <c r="G17" s="28">
        <v>7000</v>
      </c>
      <c r="H17" s="28">
        <v>40000</v>
      </c>
      <c r="I17" s="28">
        <f t="shared" si="3"/>
        <v>33000</v>
      </c>
      <c r="J17" s="28">
        <v>40000</v>
      </c>
      <c r="K17" s="28">
        <v>40000</v>
      </c>
    </row>
    <row r="18" spans="1:11" s="8" customFormat="1">
      <c r="A18" s="30" t="s">
        <v>39</v>
      </c>
      <c r="B18" s="31" t="s">
        <v>40</v>
      </c>
      <c r="C18" s="32">
        <f>SUM(C19:C29)</f>
        <v>91000</v>
      </c>
      <c r="D18" s="32">
        <f t="shared" ref="D18:K18" si="7">SUM(D19:D29)</f>
        <v>91000</v>
      </c>
      <c r="E18" s="32">
        <f t="shared" si="7"/>
        <v>71773.01999999999</v>
      </c>
      <c r="F18" s="32">
        <f t="shared" si="7"/>
        <v>91000</v>
      </c>
      <c r="G18" s="32">
        <f t="shared" si="7"/>
        <v>91000</v>
      </c>
      <c r="H18" s="32">
        <f t="shared" si="7"/>
        <v>189000</v>
      </c>
      <c r="I18" s="32">
        <f t="shared" si="7"/>
        <v>98000</v>
      </c>
      <c r="J18" s="32">
        <f t="shared" si="7"/>
        <v>189000</v>
      </c>
      <c r="K18" s="32">
        <f t="shared" si="7"/>
        <v>189000</v>
      </c>
    </row>
    <row r="19" spans="1:11" s="8" customFormat="1">
      <c r="A19" s="27" t="s">
        <v>41</v>
      </c>
      <c r="B19" s="27" t="s">
        <v>42</v>
      </c>
      <c r="C19" s="28">
        <v>63000</v>
      </c>
      <c r="D19" s="28">
        <v>63000</v>
      </c>
      <c r="E19" s="29">
        <v>23230.36</v>
      </c>
      <c r="F19" s="28">
        <v>63000</v>
      </c>
      <c r="G19" s="28">
        <v>63000</v>
      </c>
      <c r="H19" s="28">
        <v>100000</v>
      </c>
      <c r="I19" s="28">
        <f t="shared" si="3"/>
        <v>37000</v>
      </c>
      <c r="J19" s="28">
        <v>100000</v>
      </c>
      <c r="K19" s="28">
        <v>100000</v>
      </c>
    </row>
    <row r="20" spans="1:11" s="8" customFormat="1">
      <c r="A20" s="27" t="s">
        <v>47</v>
      </c>
      <c r="B20" s="27" t="s">
        <v>48</v>
      </c>
      <c r="C20" s="28">
        <v>2000</v>
      </c>
      <c r="D20" s="28">
        <v>2000</v>
      </c>
      <c r="E20" s="28"/>
      <c r="F20" s="28">
        <v>2000</v>
      </c>
      <c r="G20" s="28">
        <v>2000</v>
      </c>
      <c r="H20" s="28">
        <v>2000</v>
      </c>
      <c r="I20" s="28">
        <f t="shared" si="3"/>
        <v>0</v>
      </c>
      <c r="J20" s="28">
        <v>2000</v>
      </c>
      <c r="K20" s="28">
        <v>2000</v>
      </c>
    </row>
    <row r="21" spans="1:11" s="8" customFormat="1">
      <c r="A21" s="27" t="s">
        <v>51</v>
      </c>
      <c r="B21" s="27" t="s">
        <v>52</v>
      </c>
      <c r="C21" s="28">
        <v>1000</v>
      </c>
      <c r="D21" s="28">
        <v>1000</v>
      </c>
      <c r="E21" s="29">
        <v>11111</v>
      </c>
      <c r="F21" s="28">
        <v>1000</v>
      </c>
      <c r="G21" s="28">
        <v>1000</v>
      </c>
      <c r="H21" s="28">
        <v>10000</v>
      </c>
      <c r="I21" s="28">
        <f t="shared" si="3"/>
        <v>9000</v>
      </c>
      <c r="J21" s="28">
        <v>10000</v>
      </c>
      <c r="K21" s="28">
        <v>10000</v>
      </c>
    </row>
    <row r="22" spans="1:11" s="8" customFormat="1">
      <c r="A22" s="27" t="s">
        <v>53</v>
      </c>
      <c r="B22" s="27" t="s">
        <v>54</v>
      </c>
      <c r="C22" s="28">
        <v>1000</v>
      </c>
      <c r="D22" s="28">
        <v>1000</v>
      </c>
      <c r="E22" s="29">
        <v>286.04000000000002</v>
      </c>
      <c r="F22" s="28">
        <v>1000</v>
      </c>
      <c r="G22" s="28">
        <v>1000</v>
      </c>
      <c r="H22" s="28">
        <v>10000</v>
      </c>
      <c r="I22" s="28">
        <f t="shared" si="3"/>
        <v>9000</v>
      </c>
      <c r="J22" s="28">
        <v>10000</v>
      </c>
      <c r="K22" s="28">
        <v>10000</v>
      </c>
    </row>
    <row r="23" spans="1:11" s="8" customFormat="1">
      <c r="A23" s="27" t="s">
        <v>55</v>
      </c>
      <c r="B23" s="27" t="s">
        <v>56</v>
      </c>
      <c r="C23" s="28">
        <v>2000</v>
      </c>
      <c r="D23" s="28">
        <v>2000</v>
      </c>
      <c r="E23" s="29">
        <v>129.19999999999999</v>
      </c>
      <c r="F23" s="28">
        <v>2000</v>
      </c>
      <c r="G23" s="28">
        <v>2000</v>
      </c>
      <c r="H23" s="28">
        <v>2000</v>
      </c>
      <c r="I23" s="28">
        <f t="shared" si="3"/>
        <v>0</v>
      </c>
      <c r="J23" s="28">
        <v>2000</v>
      </c>
      <c r="K23" s="28">
        <v>2000</v>
      </c>
    </row>
    <row r="24" spans="1:11" s="8" customFormat="1">
      <c r="A24" s="27" t="s">
        <v>57</v>
      </c>
      <c r="B24" s="27" t="s">
        <v>58</v>
      </c>
      <c r="C24" s="28">
        <v>2000</v>
      </c>
      <c r="D24" s="28">
        <v>2000</v>
      </c>
      <c r="E24" s="29">
        <v>2329.58</v>
      </c>
      <c r="F24" s="28">
        <v>2000</v>
      </c>
      <c r="G24" s="28">
        <v>2000</v>
      </c>
      <c r="H24" s="28">
        <v>5000</v>
      </c>
      <c r="I24" s="28">
        <f t="shared" si="3"/>
        <v>3000</v>
      </c>
      <c r="J24" s="28">
        <v>5000</v>
      </c>
      <c r="K24" s="28">
        <v>5000</v>
      </c>
    </row>
    <row r="25" spans="1:11" s="8" customFormat="1">
      <c r="A25" s="27" t="s">
        <v>61</v>
      </c>
      <c r="B25" s="27" t="s">
        <v>62</v>
      </c>
      <c r="C25" s="28"/>
      <c r="D25" s="28"/>
      <c r="E25" s="29">
        <v>1186.8399999999999</v>
      </c>
      <c r="F25" s="28"/>
      <c r="G25" s="28"/>
      <c r="H25" s="28">
        <v>5000</v>
      </c>
      <c r="I25" s="28">
        <f t="shared" si="3"/>
        <v>5000</v>
      </c>
      <c r="J25" s="28">
        <v>5000</v>
      </c>
      <c r="K25" s="28">
        <v>5000</v>
      </c>
    </row>
    <row r="26" spans="1:11" s="8" customFormat="1">
      <c r="A26" s="27" t="s">
        <v>63</v>
      </c>
      <c r="B26" s="27" t="s">
        <v>64</v>
      </c>
      <c r="C26" s="28"/>
      <c r="D26" s="28"/>
      <c r="E26" s="29">
        <v>25000</v>
      </c>
      <c r="F26" s="28"/>
      <c r="G26" s="28"/>
      <c r="H26" s="28">
        <v>25000</v>
      </c>
      <c r="I26" s="28">
        <f t="shared" si="3"/>
        <v>25000</v>
      </c>
      <c r="J26" s="28">
        <v>25000</v>
      </c>
      <c r="K26" s="28">
        <v>25000</v>
      </c>
    </row>
    <row r="27" spans="1:11" s="8" customFormat="1">
      <c r="A27" s="27" t="s">
        <v>65</v>
      </c>
      <c r="B27" s="27" t="s">
        <v>66</v>
      </c>
      <c r="C27" s="28"/>
      <c r="D27" s="28"/>
      <c r="E27" s="29">
        <v>8500</v>
      </c>
      <c r="F27" s="28"/>
      <c r="G27" s="28"/>
      <c r="H27" s="28">
        <v>10000</v>
      </c>
      <c r="I27" s="28">
        <f t="shared" si="3"/>
        <v>10000</v>
      </c>
      <c r="J27" s="28">
        <v>10000</v>
      </c>
      <c r="K27" s="28">
        <v>10000</v>
      </c>
    </row>
    <row r="28" spans="1:11" s="8" customFormat="1">
      <c r="A28" s="27" t="s">
        <v>75</v>
      </c>
      <c r="B28" s="27" t="s">
        <v>76</v>
      </c>
      <c r="C28" s="28">
        <v>10000</v>
      </c>
      <c r="D28" s="28">
        <v>10000</v>
      </c>
      <c r="E28" s="34">
        <v>0</v>
      </c>
      <c r="F28" s="28">
        <v>10000</v>
      </c>
      <c r="G28" s="28">
        <v>10000</v>
      </c>
      <c r="H28" s="28">
        <v>10000</v>
      </c>
      <c r="I28" s="28">
        <f>H28-D28</f>
        <v>0</v>
      </c>
      <c r="J28" s="28">
        <v>10000</v>
      </c>
      <c r="K28" s="28">
        <v>10000</v>
      </c>
    </row>
    <row r="29" spans="1:11" s="8" customFormat="1">
      <c r="A29" s="27" t="s">
        <v>92</v>
      </c>
      <c r="B29" s="27" t="s">
        <v>79</v>
      </c>
      <c r="C29" s="28">
        <v>10000</v>
      </c>
      <c r="D29" s="28">
        <v>10000</v>
      </c>
      <c r="E29" s="28"/>
      <c r="F29" s="28">
        <v>10000</v>
      </c>
      <c r="G29" s="28">
        <v>10000</v>
      </c>
      <c r="H29" s="28">
        <v>10000</v>
      </c>
      <c r="I29" s="28">
        <f t="shared" si="3"/>
        <v>0</v>
      </c>
      <c r="J29" s="28">
        <v>10000</v>
      </c>
      <c r="K29" s="28">
        <v>10000</v>
      </c>
    </row>
    <row r="30" spans="1:11" s="8" customFormat="1">
      <c r="A30" s="30" t="s">
        <v>112</v>
      </c>
      <c r="B30" s="31" t="s">
        <v>113</v>
      </c>
      <c r="C30" s="32">
        <f>SUM(C31)</f>
        <v>42000</v>
      </c>
      <c r="D30" s="32">
        <f t="shared" ref="D30:K30" si="8">SUM(D31)</f>
        <v>42000</v>
      </c>
      <c r="E30" s="32">
        <f t="shared" si="8"/>
        <v>44709.85</v>
      </c>
      <c r="F30" s="32">
        <f t="shared" si="8"/>
        <v>42000</v>
      </c>
      <c r="G30" s="32">
        <f t="shared" si="8"/>
        <v>42000</v>
      </c>
      <c r="H30" s="32">
        <f t="shared" si="8"/>
        <v>50000</v>
      </c>
      <c r="I30" s="32">
        <f t="shared" si="8"/>
        <v>8000</v>
      </c>
      <c r="J30" s="32">
        <f t="shared" si="8"/>
        <v>50000</v>
      </c>
      <c r="K30" s="32">
        <f t="shared" si="8"/>
        <v>50000</v>
      </c>
    </row>
    <row r="31" spans="1:11" s="8" customFormat="1">
      <c r="A31" s="27" t="s">
        <v>114</v>
      </c>
      <c r="B31" s="27" t="s">
        <v>115</v>
      </c>
      <c r="C31" s="28">
        <v>42000</v>
      </c>
      <c r="D31" s="28">
        <v>42000</v>
      </c>
      <c r="E31" s="29">
        <v>44709.85</v>
      </c>
      <c r="F31" s="28">
        <v>42000</v>
      </c>
      <c r="G31" s="28">
        <v>42000</v>
      </c>
      <c r="H31" s="28">
        <v>50000</v>
      </c>
      <c r="I31" s="28">
        <f t="shared" si="3"/>
        <v>8000</v>
      </c>
      <c r="J31" s="28">
        <v>50000</v>
      </c>
      <c r="K31" s="28">
        <v>50000</v>
      </c>
    </row>
    <row r="32" spans="1:11" s="8" customFormat="1">
      <c r="A32" s="30" t="s">
        <v>116</v>
      </c>
      <c r="B32" s="31" t="s">
        <v>117</v>
      </c>
      <c r="C32" s="32">
        <f>SUM(C33:C36)</f>
        <v>77000</v>
      </c>
      <c r="D32" s="32">
        <f t="shared" ref="D32:K32" si="9">SUM(D33:D36)</f>
        <v>77000</v>
      </c>
      <c r="E32" s="32">
        <f t="shared" si="9"/>
        <v>42150.81</v>
      </c>
      <c r="F32" s="32">
        <f t="shared" si="9"/>
        <v>77000</v>
      </c>
      <c r="G32" s="32">
        <f t="shared" si="9"/>
        <v>77000</v>
      </c>
      <c r="H32" s="32">
        <f t="shared" si="9"/>
        <v>80000</v>
      </c>
      <c r="I32" s="32">
        <f t="shared" si="9"/>
        <v>3000</v>
      </c>
      <c r="J32" s="32">
        <f t="shared" si="9"/>
        <v>80000</v>
      </c>
      <c r="K32" s="32">
        <f t="shared" si="9"/>
        <v>80000</v>
      </c>
    </row>
    <row r="33" spans="1:13" s="8" customFormat="1">
      <c r="A33" s="27" t="s">
        <v>118</v>
      </c>
      <c r="B33" s="27" t="s">
        <v>119</v>
      </c>
      <c r="C33" s="28">
        <v>70000</v>
      </c>
      <c r="D33" s="28">
        <v>70000</v>
      </c>
      <c r="E33" s="29">
        <v>28773.21</v>
      </c>
      <c r="F33" s="28">
        <v>70000</v>
      </c>
      <c r="G33" s="28">
        <v>70000</v>
      </c>
      <c r="H33" s="28">
        <v>35000</v>
      </c>
      <c r="I33" s="28">
        <f t="shared" si="3"/>
        <v>-35000</v>
      </c>
      <c r="J33" s="28">
        <v>35000</v>
      </c>
      <c r="K33" s="28">
        <v>35000</v>
      </c>
    </row>
    <row r="34" spans="1:13" s="8" customFormat="1">
      <c r="A34" s="27" t="s">
        <v>120</v>
      </c>
      <c r="B34" s="27" t="s">
        <v>121</v>
      </c>
      <c r="C34" s="28"/>
      <c r="D34" s="28"/>
      <c r="E34" s="29">
        <v>4393.6000000000004</v>
      </c>
      <c r="F34" s="28"/>
      <c r="G34" s="28"/>
      <c r="H34" s="28">
        <v>20000</v>
      </c>
      <c r="I34" s="28">
        <f t="shared" si="3"/>
        <v>20000</v>
      </c>
      <c r="J34" s="28">
        <v>20000</v>
      </c>
      <c r="K34" s="28">
        <v>20000</v>
      </c>
    </row>
    <row r="35" spans="1:13" s="8" customFormat="1">
      <c r="A35" s="27" t="s">
        <v>122</v>
      </c>
      <c r="B35" s="27" t="s">
        <v>123</v>
      </c>
      <c r="C35" s="28">
        <v>7000</v>
      </c>
      <c r="D35" s="28">
        <v>7000</v>
      </c>
      <c r="E35" s="28"/>
      <c r="F35" s="28">
        <v>7000</v>
      </c>
      <c r="G35" s="28">
        <v>7000</v>
      </c>
      <c r="H35" s="28">
        <v>15000</v>
      </c>
      <c r="I35" s="28">
        <f t="shared" si="3"/>
        <v>8000</v>
      </c>
      <c r="J35" s="28">
        <v>15000</v>
      </c>
      <c r="K35" s="28">
        <v>15000</v>
      </c>
    </row>
    <row r="36" spans="1:13" s="8" customFormat="1">
      <c r="A36" s="27" t="s">
        <v>124</v>
      </c>
      <c r="B36" s="27" t="s">
        <v>125</v>
      </c>
      <c r="C36" s="28"/>
      <c r="D36" s="28"/>
      <c r="E36" s="29">
        <v>8984</v>
      </c>
      <c r="F36" s="28"/>
      <c r="G36" s="28"/>
      <c r="H36" s="28">
        <v>10000</v>
      </c>
      <c r="I36" s="28">
        <f t="shared" si="3"/>
        <v>10000</v>
      </c>
      <c r="J36" s="28">
        <v>10000</v>
      </c>
      <c r="K36" s="28">
        <v>10000</v>
      </c>
    </row>
    <row r="37" spans="1:13" s="8" customFormat="1" ht="20.399999999999999">
      <c r="A37" s="67" t="s">
        <v>309</v>
      </c>
      <c r="B37" s="68" t="s">
        <v>310</v>
      </c>
      <c r="C37" s="69">
        <f>SUM(C38)</f>
        <v>50000</v>
      </c>
      <c r="D37" s="69">
        <f t="shared" ref="D37:K37" si="10">SUM(D38)</f>
        <v>50000</v>
      </c>
      <c r="E37" s="69">
        <f t="shared" si="10"/>
        <v>0</v>
      </c>
      <c r="F37" s="69">
        <f t="shared" si="10"/>
        <v>0</v>
      </c>
      <c r="G37" s="69">
        <f t="shared" si="10"/>
        <v>0</v>
      </c>
      <c r="H37" s="69">
        <f t="shared" si="10"/>
        <v>730000</v>
      </c>
      <c r="I37" s="69">
        <f t="shared" si="10"/>
        <v>0</v>
      </c>
      <c r="J37" s="69">
        <f t="shared" si="10"/>
        <v>730000</v>
      </c>
      <c r="K37" s="69">
        <f t="shared" si="10"/>
        <v>730000</v>
      </c>
    </row>
    <row r="38" spans="1:13" s="8" customFormat="1">
      <c r="A38" s="30" t="s">
        <v>39</v>
      </c>
      <c r="B38" s="31" t="s">
        <v>40</v>
      </c>
      <c r="C38" s="32">
        <f>SUM(C40)</f>
        <v>50000</v>
      </c>
      <c r="D38" s="32">
        <f>SUM(D40)</f>
        <v>50000</v>
      </c>
      <c r="E38" s="32">
        <f>SUM(E40)</f>
        <v>0</v>
      </c>
      <c r="F38" s="32">
        <f>SUM(F40)</f>
        <v>0</v>
      </c>
      <c r="G38" s="32">
        <f>SUM(G40)</f>
        <v>0</v>
      </c>
      <c r="H38" s="32">
        <f>SUM(H39,H40)</f>
        <v>730000</v>
      </c>
      <c r="I38" s="32">
        <f t="shared" ref="I38:K38" si="11">SUM(I39,I40)</f>
        <v>0</v>
      </c>
      <c r="J38" s="32">
        <f t="shared" si="11"/>
        <v>730000</v>
      </c>
      <c r="K38" s="32">
        <f t="shared" si="11"/>
        <v>730000</v>
      </c>
    </row>
    <row r="39" spans="1:13" s="8" customFormat="1" ht="14.55" customHeight="1">
      <c r="A39" s="27" t="s">
        <v>75</v>
      </c>
      <c r="B39" s="27" t="s">
        <v>76</v>
      </c>
      <c r="C39" s="100"/>
      <c r="D39" s="100"/>
      <c r="E39" s="100"/>
      <c r="F39" s="100"/>
      <c r="G39" s="100"/>
      <c r="H39" s="100">
        <v>680000</v>
      </c>
      <c r="I39" s="100"/>
      <c r="J39" s="100">
        <v>680000</v>
      </c>
      <c r="K39" s="100">
        <v>680000</v>
      </c>
      <c r="L39" s="193" t="s">
        <v>326</v>
      </c>
      <c r="M39" s="194"/>
    </row>
    <row r="40" spans="1:13" s="8" customFormat="1">
      <c r="A40" s="27" t="s">
        <v>92</v>
      </c>
      <c r="B40" s="27" t="s">
        <v>79</v>
      </c>
      <c r="C40" s="28">
        <v>50000</v>
      </c>
      <c r="D40" s="28">
        <v>50000</v>
      </c>
      <c r="E40" s="28"/>
      <c r="F40" s="28"/>
      <c r="G40" s="28"/>
      <c r="H40" s="28">
        <v>50000</v>
      </c>
      <c r="I40" s="28">
        <f t="shared" ref="I40" si="12">H40-D40</f>
        <v>0</v>
      </c>
      <c r="J40" s="28">
        <v>50000</v>
      </c>
      <c r="K40" s="28">
        <v>50000</v>
      </c>
      <c r="L40" s="193" t="s">
        <v>322</v>
      </c>
      <c r="M40" s="194"/>
    </row>
    <row r="41" spans="1:13" s="8" customFormat="1">
      <c r="A41" s="61" t="s">
        <v>126</v>
      </c>
      <c r="B41" s="62" t="s">
        <v>127</v>
      </c>
      <c r="C41" s="63">
        <f>SUM(C42)</f>
        <v>30000</v>
      </c>
      <c r="D41" s="63">
        <f t="shared" ref="D41:K41" si="13">SUM(D42)</f>
        <v>30000</v>
      </c>
      <c r="E41" s="63">
        <f t="shared" si="13"/>
        <v>0</v>
      </c>
      <c r="F41" s="63">
        <f t="shared" si="13"/>
        <v>40000</v>
      </c>
      <c r="G41" s="63">
        <f t="shared" si="13"/>
        <v>40000</v>
      </c>
      <c r="H41" s="63">
        <f t="shared" si="13"/>
        <v>30000</v>
      </c>
      <c r="I41" s="63">
        <f t="shared" si="13"/>
        <v>0</v>
      </c>
      <c r="J41" s="63">
        <f t="shared" si="13"/>
        <v>30000</v>
      </c>
      <c r="K41" s="63">
        <f t="shared" si="13"/>
        <v>30000</v>
      </c>
      <c r="L41" s="193"/>
      <c r="M41" s="194"/>
    </row>
    <row r="42" spans="1:13" s="8" customFormat="1">
      <c r="A42" s="30" t="s">
        <v>39</v>
      </c>
      <c r="B42" s="31" t="s">
        <v>40</v>
      </c>
      <c r="C42" s="32">
        <f>SUM(C43:C44)</f>
        <v>30000</v>
      </c>
      <c r="D42" s="32">
        <f t="shared" ref="D42:K42" si="14">SUM(D43:D44)</f>
        <v>30000</v>
      </c>
      <c r="E42" s="32">
        <f t="shared" si="14"/>
        <v>0</v>
      </c>
      <c r="F42" s="32">
        <f t="shared" si="14"/>
        <v>40000</v>
      </c>
      <c r="G42" s="32">
        <f t="shared" si="14"/>
        <v>40000</v>
      </c>
      <c r="H42" s="32">
        <f t="shared" si="14"/>
        <v>30000</v>
      </c>
      <c r="I42" s="32">
        <f t="shared" si="14"/>
        <v>0</v>
      </c>
      <c r="J42" s="32">
        <f t="shared" si="14"/>
        <v>30000</v>
      </c>
      <c r="K42" s="32">
        <f t="shared" si="14"/>
        <v>30000</v>
      </c>
    </row>
    <row r="43" spans="1:13" s="8" customFormat="1">
      <c r="A43" s="27" t="s">
        <v>75</v>
      </c>
      <c r="B43" s="27" t="s">
        <v>76</v>
      </c>
      <c r="C43" s="28">
        <v>15000</v>
      </c>
      <c r="D43" s="28">
        <v>15000</v>
      </c>
      <c r="E43" s="28"/>
      <c r="F43" s="28">
        <v>15000</v>
      </c>
      <c r="G43" s="28">
        <v>15000</v>
      </c>
      <c r="H43" s="28">
        <v>15000</v>
      </c>
      <c r="I43" s="28">
        <f t="shared" si="3"/>
        <v>0</v>
      </c>
      <c r="J43" s="28">
        <v>15000</v>
      </c>
      <c r="K43" s="28">
        <v>15000</v>
      </c>
      <c r="L43" s="193" t="s">
        <v>323</v>
      </c>
      <c r="M43" s="194"/>
    </row>
    <row r="44" spans="1:13" s="8" customFormat="1">
      <c r="A44" s="27" t="s">
        <v>92</v>
      </c>
      <c r="B44" s="27" t="s">
        <v>79</v>
      </c>
      <c r="C44" s="28">
        <v>15000</v>
      </c>
      <c r="D44" s="28">
        <v>15000</v>
      </c>
      <c r="E44" s="28"/>
      <c r="F44" s="28">
        <v>25000</v>
      </c>
      <c r="G44" s="28">
        <v>25000</v>
      </c>
      <c r="H44" s="28">
        <v>15000</v>
      </c>
      <c r="I44" s="28">
        <f t="shared" si="3"/>
        <v>0</v>
      </c>
      <c r="J44" s="28">
        <v>15000</v>
      </c>
      <c r="K44" s="28">
        <v>15000</v>
      </c>
      <c r="L44" s="193" t="s">
        <v>323</v>
      </c>
      <c r="M44" s="194"/>
    </row>
    <row r="45" spans="1:13" s="8" customFormat="1">
      <c r="A45" s="58" t="s">
        <v>128</v>
      </c>
      <c r="B45" s="59" t="s">
        <v>129</v>
      </c>
      <c r="C45" s="60">
        <f>SUM(C46)</f>
        <v>182000</v>
      </c>
      <c r="D45" s="60">
        <f t="shared" ref="D45:K45" si="15">SUM(D46)</f>
        <v>182000</v>
      </c>
      <c r="E45" s="60">
        <f t="shared" si="15"/>
        <v>0</v>
      </c>
      <c r="F45" s="60">
        <f t="shared" si="15"/>
        <v>182000</v>
      </c>
      <c r="G45" s="60">
        <f t="shared" si="15"/>
        <v>182000</v>
      </c>
      <c r="H45" s="60">
        <f t="shared" si="15"/>
        <v>182000</v>
      </c>
      <c r="I45" s="60">
        <f t="shared" si="15"/>
        <v>0</v>
      </c>
      <c r="J45" s="60">
        <f t="shared" si="15"/>
        <v>182000</v>
      </c>
      <c r="K45" s="60">
        <f t="shared" si="15"/>
        <v>182000</v>
      </c>
    </row>
    <row r="46" spans="1:13" s="8" customFormat="1">
      <c r="A46" s="30" t="s">
        <v>39</v>
      </c>
      <c r="B46" s="31" t="s">
        <v>40</v>
      </c>
      <c r="C46" s="32">
        <f>SUM(C47:C48)</f>
        <v>182000</v>
      </c>
      <c r="D46" s="32">
        <f t="shared" ref="D46:K46" si="16">SUM(D47:D48)</f>
        <v>182000</v>
      </c>
      <c r="E46" s="32">
        <f t="shared" si="16"/>
        <v>0</v>
      </c>
      <c r="F46" s="32">
        <f t="shared" si="16"/>
        <v>182000</v>
      </c>
      <c r="G46" s="32">
        <f t="shared" si="16"/>
        <v>182000</v>
      </c>
      <c r="H46" s="32">
        <f t="shared" si="16"/>
        <v>182000</v>
      </c>
      <c r="I46" s="32">
        <f t="shared" si="16"/>
        <v>0</v>
      </c>
      <c r="J46" s="32">
        <f t="shared" si="16"/>
        <v>182000</v>
      </c>
      <c r="K46" s="32">
        <f t="shared" si="16"/>
        <v>182000</v>
      </c>
    </row>
    <row r="47" spans="1:13" s="8" customFormat="1">
      <c r="A47" s="27" t="s">
        <v>65</v>
      </c>
      <c r="B47" s="27" t="s">
        <v>66</v>
      </c>
      <c r="C47" s="28">
        <v>2000</v>
      </c>
      <c r="D47" s="28">
        <v>2000</v>
      </c>
      <c r="E47" s="28"/>
      <c r="F47" s="28">
        <v>2000</v>
      </c>
      <c r="G47" s="28">
        <v>2000</v>
      </c>
      <c r="H47" s="28">
        <v>2000</v>
      </c>
      <c r="I47" s="28">
        <f t="shared" si="3"/>
        <v>0</v>
      </c>
      <c r="J47" s="28">
        <v>2000</v>
      </c>
      <c r="K47" s="28">
        <v>2000</v>
      </c>
    </row>
    <row r="48" spans="1:13" s="8" customFormat="1">
      <c r="A48" s="27" t="s">
        <v>92</v>
      </c>
      <c r="B48" s="27" t="s">
        <v>79</v>
      </c>
      <c r="C48" s="28">
        <v>180000</v>
      </c>
      <c r="D48" s="28">
        <v>180000</v>
      </c>
      <c r="E48" s="28"/>
      <c r="F48" s="28">
        <v>180000</v>
      </c>
      <c r="G48" s="28">
        <v>180000</v>
      </c>
      <c r="H48" s="28">
        <v>180000</v>
      </c>
      <c r="I48" s="28">
        <f t="shared" si="3"/>
        <v>0</v>
      </c>
      <c r="J48" s="28">
        <v>180000</v>
      </c>
      <c r="K48" s="28">
        <v>180000</v>
      </c>
      <c r="L48" s="8" t="s">
        <v>324</v>
      </c>
    </row>
    <row r="49" spans="1:11" s="12" customFormat="1" ht="30.6">
      <c r="A49" s="89" t="s">
        <v>130</v>
      </c>
      <c r="B49" s="90" t="s">
        <v>131</v>
      </c>
      <c r="C49" s="11">
        <f>SUM(C50)</f>
        <v>1300000</v>
      </c>
      <c r="D49" s="11">
        <f t="shared" ref="D49:K49" si="17">SUM(D50)</f>
        <v>1300000</v>
      </c>
      <c r="E49" s="11">
        <f t="shared" si="17"/>
        <v>188780.99</v>
      </c>
      <c r="F49" s="11">
        <f t="shared" si="17"/>
        <v>1300000</v>
      </c>
      <c r="G49" s="11">
        <f t="shared" si="17"/>
        <v>1300000</v>
      </c>
      <c r="H49" s="11">
        <f t="shared" si="17"/>
        <v>2646000</v>
      </c>
      <c r="I49" s="11">
        <f t="shared" si="17"/>
        <v>1346000</v>
      </c>
      <c r="J49" s="11">
        <f t="shared" si="17"/>
        <v>2646000</v>
      </c>
      <c r="K49" s="11">
        <f t="shared" si="17"/>
        <v>2646000</v>
      </c>
    </row>
    <row r="50" spans="1:11" s="8" customFormat="1">
      <c r="A50" s="67" t="s">
        <v>307</v>
      </c>
      <c r="B50" s="68" t="s">
        <v>308</v>
      </c>
      <c r="C50" s="69">
        <f>SUM(C51,C54,C73,C75,C80)</f>
        <v>1300000</v>
      </c>
      <c r="D50" s="69">
        <f t="shared" ref="D50:K50" si="18">SUM(D51,D54,D73,D75,D80)</f>
        <v>1300000</v>
      </c>
      <c r="E50" s="69">
        <f t="shared" si="18"/>
        <v>188780.99</v>
      </c>
      <c r="F50" s="69">
        <f t="shared" si="18"/>
        <v>1300000</v>
      </c>
      <c r="G50" s="69">
        <f t="shared" si="18"/>
        <v>1300000</v>
      </c>
      <c r="H50" s="69">
        <f t="shared" si="18"/>
        <v>2646000</v>
      </c>
      <c r="I50" s="69">
        <f t="shared" si="18"/>
        <v>1346000</v>
      </c>
      <c r="J50" s="69">
        <f t="shared" si="18"/>
        <v>2646000</v>
      </c>
      <c r="K50" s="69">
        <f t="shared" si="18"/>
        <v>2646000</v>
      </c>
    </row>
    <row r="51" spans="1:11" s="8" customFormat="1">
      <c r="A51" s="30" t="s">
        <v>27</v>
      </c>
      <c r="B51" s="31" t="s">
        <v>28</v>
      </c>
      <c r="C51" s="32">
        <f>SUM(C52:C53)</f>
        <v>103000</v>
      </c>
      <c r="D51" s="32">
        <f t="shared" ref="D51:K51" si="19">SUM(D52:D53)</f>
        <v>103000</v>
      </c>
      <c r="E51" s="32">
        <f t="shared" si="19"/>
        <v>0</v>
      </c>
      <c r="F51" s="32">
        <f t="shared" si="19"/>
        <v>103000</v>
      </c>
      <c r="G51" s="32">
        <f t="shared" si="19"/>
        <v>103000</v>
      </c>
      <c r="H51" s="32">
        <f t="shared" si="19"/>
        <v>330000</v>
      </c>
      <c r="I51" s="32">
        <f t="shared" si="19"/>
        <v>227000</v>
      </c>
      <c r="J51" s="32">
        <f t="shared" si="19"/>
        <v>330000</v>
      </c>
      <c r="K51" s="32">
        <f t="shared" si="19"/>
        <v>330000</v>
      </c>
    </row>
    <row r="52" spans="1:11" s="8" customFormat="1">
      <c r="A52" s="27" t="s">
        <v>29</v>
      </c>
      <c r="B52" s="27" t="s">
        <v>30</v>
      </c>
      <c r="C52" s="28">
        <v>100000</v>
      </c>
      <c r="D52" s="28">
        <v>100000</v>
      </c>
      <c r="E52" s="28"/>
      <c r="F52" s="28">
        <v>100000</v>
      </c>
      <c r="G52" s="28">
        <v>100000</v>
      </c>
      <c r="H52" s="28">
        <v>300000</v>
      </c>
      <c r="I52" s="28">
        <f t="shared" si="3"/>
        <v>200000</v>
      </c>
      <c r="J52" s="28">
        <v>300000</v>
      </c>
      <c r="K52" s="28">
        <v>300000</v>
      </c>
    </row>
    <row r="53" spans="1:11" s="8" customFormat="1">
      <c r="A53" s="27" t="s">
        <v>31</v>
      </c>
      <c r="B53" s="27" t="s">
        <v>32</v>
      </c>
      <c r="C53" s="28">
        <v>3000</v>
      </c>
      <c r="D53" s="28">
        <v>3000</v>
      </c>
      <c r="E53" s="28"/>
      <c r="F53" s="28">
        <v>3000</v>
      </c>
      <c r="G53" s="28">
        <v>3000</v>
      </c>
      <c r="H53" s="28">
        <v>30000</v>
      </c>
      <c r="I53" s="28">
        <f t="shared" si="3"/>
        <v>27000</v>
      </c>
      <c r="J53" s="28">
        <v>30000</v>
      </c>
      <c r="K53" s="28">
        <v>30000</v>
      </c>
    </row>
    <row r="54" spans="1:11" s="8" customFormat="1">
      <c r="A54" s="30" t="s">
        <v>39</v>
      </c>
      <c r="B54" s="31" t="s">
        <v>40</v>
      </c>
      <c r="C54" s="33">
        <f>SUM(C55:C72)</f>
        <v>1173000</v>
      </c>
      <c r="D54" s="33">
        <f t="shared" ref="D54:K54" si="20">SUM(D55:D72)</f>
        <v>1173000</v>
      </c>
      <c r="E54" s="33">
        <f t="shared" si="20"/>
        <v>37680.990000000005</v>
      </c>
      <c r="F54" s="33">
        <f t="shared" si="20"/>
        <v>1173000</v>
      </c>
      <c r="G54" s="33">
        <f t="shared" si="20"/>
        <v>1173000</v>
      </c>
      <c r="H54" s="33">
        <f t="shared" si="20"/>
        <v>1949000</v>
      </c>
      <c r="I54" s="33">
        <f t="shared" si="20"/>
        <v>776000</v>
      </c>
      <c r="J54" s="33">
        <f t="shared" si="20"/>
        <v>1949000</v>
      </c>
      <c r="K54" s="33">
        <f t="shared" si="20"/>
        <v>1949000</v>
      </c>
    </row>
    <row r="55" spans="1:11" s="8" customFormat="1">
      <c r="A55" s="27" t="s">
        <v>41</v>
      </c>
      <c r="B55" s="27" t="s">
        <v>42</v>
      </c>
      <c r="C55" s="28">
        <v>800000</v>
      </c>
      <c r="D55" s="28">
        <v>800000</v>
      </c>
      <c r="E55" s="29">
        <v>21204.74</v>
      </c>
      <c r="F55" s="28">
        <v>800000</v>
      </c>
      <c r="G55" s="28">
        <v>800000</v>
      </c>
      <c r="H55" s="28">
        <v>1100000</v>
      </c>
      <c r="I55" s="28">
        <f t="shared" si="3"/>
        <v>300000</v>
      </c>
      <c r="J55" s="28">
        <v>1100000</v>
      </c>
      <c r="K55" s="28">
        <v>1100000</v>
      </c>
    </row>
    <row r="56" spans="1:11" s="8" customFormat="1">
      <c r="A56" s="27" t="s">
        <v>49</v>
      </c>
      <c r="B56" s="27" t="s">
        <v>50</v>
      </c>
      <c r="C56" s="28">
        <v>4000</v>
      </c>
      <c r="D56" s="28">
        <v>4000</v>
      </c>
      <c r="E56" s="28"/>
      <c r="F56" s="28">
        <v>4000</v>
      </c>
      <c r="G56" s="28">
        <v>4000</v>
      </c>
      <c r="H56" s="28">
        <v>40000</v>
      </c>
      <c r="I56" s="28">
        <f t="shared" si="3"/>
        <v>36000</v>
      </c>
      <c r="J56" s="28">
        <v>40000</v>
      </c>
      <c r="K56" s="28">
        <v>40000</v>
      </c>
    </row>
    <row r="57" spans="1:11" s="8" customFormat="1">
      <c r="A57" s="27" t="s">
        <v>51</v>
      </c>
      <c r="B57" s="27" t="s">
        <v>52</v>
      </c>
      <c r="C57" s="28">
        <v>40000</v>
      </c>
      <c r="D57" s="28">
        <v>40000</v>
      </c>
      <c r="E57" s="28"/>
      <c r="F57" s="28">
        <v>40000</v>
      </c>
      <c r="G57" s="28">
        <v>40000</v>
      </c>
      <c r="H57" s="28">
        <v>250000</v>
      </c>
      <c r="I57" s="28">
        <f t="shared" si="3"/>
        <v>210000</v>
      </c>
      <c r="J57" s="28">
        <v>250000</v>
      </c>
      <c r="K57" s="28">
        <v>250000</v>
      </c>
    </row>
    <row r="58" spans="1:11" s="8" customFormat="1">
      <c r="A58" s="27" t="s">
        <v>53</v>
      </c>
      <c r="B58" s="27" t="s">
        <v>54</v>
      </c>
      <c r="C58" s="28">
        <v>228000</v>
      </c>
      <c r="D58" s="28">
        <v>228000</v>
      </c>
      <c r="E58" s="29">
        <v>3100</v>
      </c>
      <c r="F58" s="28">
        <v>228000</v>
      </c>
      <c r="G58" s="28">
        <v>228000</v>
      </c>
      <c r="H58" s="28">
        <v>100000</v>
      </c>
      <c r="I58" s="28">
        <f t="shared" si="3"/>
        <v>-128000</v>
      </c>
      <c r="J58" s="28">
        <v>100000</v>
      </c>
      <c r="K58" s="28">
        <v>100000</v>
      </c>
    </row>
    <row r="59" spans="1:11" s="8" customFormat="1">
      <c r="A59" s="27" t="s">
        <v>55</v>
      </c>
      <c r="B59" s="27" t="s">
        <v>56</v>
      </c>
      <c r="C59" s="28">
        <v>3000</v>
      </c>
      <c r="D59" s="28">
        <v>3000</v>
      </c>
      <c r="E59" s="28"/>
      <c r="F59" s="28">
        <v>3000</v>
      </c>
      <c r="G59" s="28">
        <v>3000</v>
      </c>
      <c r="H59" s="28">
        <v>10000</v>
      </c>
      <c r="I59" s="28">
        <f t="shared" si="3"/>
        <v>7000</v>
      </c>
      <c r="J59" s="28">
        <v>10000</v>
      </c>
      <c r="K59" s="28">
        <v>10000</v>
      </c>
    </row>
    <row r="60" spans="1:11" s="8" customFormat="1">
      <c r="A60" s="27" t="s">
        <v>57</v>
      </c>
      <c r="B60" s="27" t="s">
        <v>58</v>
      </c>
      <c r="C60" s="28">
        <v>2000</v>
      </c>
      <c r="D60" s="28">
        <v>2000</v>
      </c>
      <c r="E60" s="29">
        <v>9022.5</v>
      </c>
      <c r="F60" s="28">
        <v>2000</v>
      </c>
      <c r="G60" s="28">
        <v>2000</v>
      </c>
      <c r="H60" s="28">
        <v>80000</v>
      </c>
      <c r="I60" s="28">
        <f t="shared" si="3"/>
        <v>78000</v>
      </c>
      <c r="J60" s="28">
        <v>80000</v>
      </c>
      <c r="K60" s="28">
        <v>80000</v>
      </c>
    </row>
    <row r="61" spans="1:11" s="8" customFormat="1">
      <c r="A61" s="27" t="s">
        <v>59</v>
      </c>
      <c r="B61" s="27" t="s">
        <v>60</v>
      </c>
      <c r="C61" s="28">
        <v>3000</v>
      </c>
      <c r="D61" s="28">
        <v>3000</v>
      </c>
      <c r="E61" s="28"/>
      <c r="F61" s="28">
        <v>3000</v>
      </c>
      <c r="G61" s="28">
        <v>3000</v>
      </c>
      <c r="H61" s="28">
        <v>20000</v>
      </c>
      <c r="I61" s="28">
        <f t="shared" si="3"/>
        <v>17000</v>
      </c>
      <c r="J61" s="28">
        <v>20000</v>
      </c>
      <c r="K61" s="28">
        <v>20000</v>
      </c>
    </row>
    <row r="62" spans="1:11" s="8" customFormat="1">
      <c r="A62" s="27" t="s">
        <v>61</v>
      </c>
      <c r="B62" s="27" t="s">
        <v>62</v>
      </c>
      <c r="C62" s="28">
        <v>3000</v>
      </c>
      <c r="D62" s="28">
        <v>3000</v>
      </c>
      <c r="E62" s="28"/>
      <c r="F62" s="28">
        <v>3000</v>
      </c>
      <c r="G62" s="28">
        <v>3000</v>
      </c>
      <c r="H62" s="28">
        <v>10000</v>
      </c>
      <c r="I62" s="28">
        <f t="shared" si="3"/>
        <v>7000</v>
      </c>
      <c r="J62" s="28">
        <v>10000</v>
      </c>
      <c r="K62" s="28">
        <v>10000</v>
      </c>
    </row>
    <row r="63" spans="1:11" s="8" customFormat="1">
      <c r="A63" s="27" t="s">
        <v>63</v>
      </c>
      <c r="B63" s="27" t="s">
        <v>64</v>
      </c>
      <c r="C63" s="28">
        <v>25000</v>
      </c>
      <c r="D63" s="28">
        <v>25000</v>
      </c>
      <c r="E63" s="29">
        <v>4193.75</v>
      </c>
      <c r="F63" s="28">
        <v>25000</v>
      </c>
      <c r="G63" s="28">
        <v>25000</v>
      </c>
      <c r="H63" s="28">
        <v>30000</v>
      </c>
      <c r="I63" s="28">
        <f t="shared" si="3"/>
        <v>5000</v>
      </c>
      <c r="J63" s="28">
        <v>30000</v>
      </c>
      <c r="K63" s="28">
        <v>30000</v>
      </c>
    </row>
    <row r="64" spans="1:11" s="8" customFormat="1">
      <c r="A64" s="27" t="s">
        <v>65</v>
      </c>
      <c r="B64" s="27" t="s">
        <v>66</v>
      </c>
      <c r="C64" s="28">
        <v>20000</v>
      </c>
      <c r="D64" s="28">
        <v>20000</v>
      </c>
      <c r="E64" s="28"/>
      <c r="F64" s="28">
        <v>20000</v>
      </c>
      <c r="G64" s="28">
        <v>20000</v>
      </c>
      <c r="H64" s="28">
        <v>110000</v>
      </c>
      <c r="I64" s="28">
        <f t="shared" si="3"/>
        <v>90000</v>
      </c>
      <c r="J64" s="28">
        <v>110000</v>
      </c>
      <c r="K64" s="28">
        <v>110000</v>
      </c>
    </row>
    <row r="65" spans="1:11" s="8" customFormat="1">
      <c r="A65" s="27" t="s">
        <v>71</v>
      </c>
      <c r="B65" s="27" t="s">
        <v>72</v>
      </c>
      <c r="C65" s="28">
        <v>2000</v>
      </c>
      <c r="D65" s="28">
        <v>2000</v>
      </c>
      <c r="E65" s="28"/>
      <c r="F65" s="28">
        <v>2000</v>
      </c>
      <c r="G65" s="28">
        <v>2000</v>
      </c>
      <c r="H65" s="28">
        <v>2000</v>
      </c>
      <c r="I65" s="28">
        <f t="shared" si="3"/>
        <v>0</v>
      </c>
      <c r="J65" s="28">
        <v>2000</v>
      </c>
      <c r="K65" s="28">
        <v>2000</v>
      </c>
    </row>
    <row r="66" spans="1:11" s="8" customFormat="1">
      <c r="A66" s="27" t="s">
        <v>73</v>
      </c>
      <c r="B66" s="27" t="s">
        <v>74</v>
      </c>
      <c r="C66" s="28">
        <v>13000</v>
      </c>
      <c r="D66" s="28">
        <v>13000</v>
      </c>
      <c r="E66" s="28"/>
      <c r="F66" s="28">
        <v>13000</v>
      </c>
      <c r="G66" s="28">
        <v>13000</v>
      </c>
      <c r="H66" s="28">
        <v>13000</v>
      </c>
      <c r="I66" s="28">
        <f t="shared" si="3"/>
        <v>0</v>
      </c>
      <c r="J66" s="28">
        <v>13000</v>
      </c>
      <c r="K66" s="28">
        <v>13000</v>
      </c>
    </row>
    <row r="67" spans="1:11" s="8" customFormat="1">
      <c r="A67" s="27" t="s">
        <v>132</v>
      </c>
      <c r="B67" s="27" t="s">
        <v>133</v>
      </c>
      <c r="C67" s="28">
        <v>3000</v>
      </c>
      <c r="D67" s="28">
        <v>3000</v>
      </c>
      <c r="E67" s="28"/>
      <c r="F67" s="28">
        <v>3000</v>
      </c>
      <c r="G67" s="28">
        <v>3000</v>
      </c>
      <c r="H67" s="28">
        <v>3000</v>
      </c>
      <c r="I67" s="28">
        <f t="shared" si="3"/>
        <v>0</v>
      </c>
      <c r="J67" s="28">
        <v>3000</v>
      </c>
      <c r="K67" s="28">
        <v>3000</v>
      </c>
    </row>
    <row r="68" spans="1:11" s="8" customFormat="1">
      <c r="A68" s="27" t="s">
        <v>75</v>
      </c>
      <c r="B68" s="27" t="s">
        <v>76</v>
      </c>
      <c r="C68" s="28">
        <v>3000</v>
      </c>
      <c r="D68" s="28">
        <v>3000</v>
      </c>
      <c r="E68" s="28"/>
      <c r="F68" s="28">
        <v>3000</v>
      </c>
      <c r="G68" s="28">
        <v>3000</v>
      </c>
      <c r="H68" s="28">
        <v>150000</v>
      </c>
      <c r="I68" s="28">
        <f t="shared" si="3"/>
        <v>147000</v>
      </c>
      <c r="J68" s="28">
        <v>150000</v>
      </c>
      <c r="K68" s="28">
        <v>150000</v>
      </c>
    </row>
    <row r="69" spans="1:11" s="8" customFormat="1">
      <c r="A69" s="27" t="s">
        <v>82</v>
      </c>
      <c r="B69" s="27" t="s">
        <v>83</v>
      </c>
      <c r="C69" s="28">
        <v>3000</v>
      </c>
      <c r="D69" s="28">
        <v>3000</v>
      </c>
      <c r="E69" s="28"/>
      <c r="F69" s="28">
        <v>3000</v>
      </c>
      <c r="G69" s="28">
        <v>3000</v>
      </c>
      <c r="H69" s="28">
        <v>10000</v>
      </c>
      <c r="I69" s="28">
        <f t="shared" si="3"/>
        <v>7000</v>
      </c>
      <c r="J69" s="28">
        <v>10000</v>
      </c>
      <c r="K69" s="28">
        <v>10000</v>
      </c>
    </row>
    <row r="70" spans="1:11" s="8" customFormat="1">
      <c r="A70" s="27" t="s">
        <v>84</v>
      </c>
      <c r="B70" s="27" t="s">
        <v>85</v>
      </c>
      <c r="C70" s="28">
        <v>13000</v>
      </c>
      <c r="D70" s="28">
        <v>13000</v>
      </c>
      <c r="E70" s="28"/>
      <c r="F70" s="28">
        <v>13000</v>
      </c>
      <c r="G70" s="28">
        <v>13000</v>
      </c>
      <c r="H70" s="28">
        <v>13000</v>
      </c>
      <c r="I70" s="28">
        <f t="shared" si="3"/>
        <v>0</v>
      </c>
      <c r="J70" s="28">
        <v>13000</v>
      </c>
      <c r="K70" s="28">
        <v>13000</v>
      </c>
    </row>
    <row r="71" spans="1:11" s="8" customFormat="1">
      <c r="A71" s="27" t="s">
        <v>88</v>
      </c>
      <c r="B71" s="27" t="s">
        <v>89</v>
      </c>
      <c r="C71" s="28">
        <v>1000</v>
      </c>
      <c r="D71" s="28">
        <v>1000</v>
      </c>
      <c r="E71" s="28"/>
      <c r="F71" s="28">
        <v>1000</v>
      </c>
      <c r="G71" s="28">
        <v>1000</v>
      </c>
      <c r="H71" s="28">
        <v>1000</v>
      </c>
      <c r="I71" s="28">
        <f t="shared" si="3"/>
        <v>0</v>
      </c>
      <c r="J71" s="28">
        <v>1000</v>
      </c>
      <c r="K71" s="28">
        <v>1000</v>
      </c>
    </row>
    <row r="72" spans="1:11" s="8" customFormat="1">
      <c r="A72" s="27" t="s">
        <v>92</v>
      </c>
      <c r="B72" s="27" t="s">
        <v>79</v>
      </c>
      <c r="C72" s="28">
        <v>7000</v>
      </c>
      <c r="D72" s="28">
        <v>7000</v>
      </c>
      <c r="E72" s="29">
        <v>160</v>
      </c>
      <c r="F72" s="28">
        <v>7000</v>
      </c>
      <c r="G72" s="28">
        <v>7000</v>
      </c>
      <c r="H72" s="28">
        <v>7000</v>
      </c>
      <c r="I72" s="28">
        <f t="shared" si="3"/>
        <v>0</v>
      </c>
      <c r="J72" s="28">
        <v>7000</v>
      </c>
      <c r="K72" s="28">
        <v>7000</v>
      </c>
    </row>
    <row r="73" spans="1:11" s="8" customFormat="1">
      <c r="A73" s="30" t="s">
        <v>93</v>
      </c>
      <c r="B73" s="31" t="s">
        <v>94</v>
      </c>
      <c r="C73" s="33">
        <f>SUM(C74)</f>
        <v>2000</v>
      </c>
      <c r="D73" s="33">
        <f t="shared" ref="D73:K73" si="21">SUM(D74)</f>
        <v>2000</v>
      </c>
      <c r="E73" s="33">
        <f t="shared" si="21"/>
        <v>0</v>
      </c>
      <c r="F73" s="33">
        <f t="shared" si="21"/>
        <v>2000</v>
      </c>
      <c r="G73" s="33">
        <f t="shared" si="21"/>
        <v>2000</v>
      </c>
      <c r="H73" s="33">
        <f t="shared" si="21"/>
        <v>2000</v>
      </c>
      <c r="I73" s="33">
        <f t="shared" si="21"/>
        <v>0</v>
      </c>
      <c r="J73" s="33">
        <f t="shared" si="21"/>
        <v>2000</v>
      </c>
      <c r="K73" s="33">
        <f t="shared" si="21"/>
        <v>2000</v>
      </c>
    </row>
    <row r="74" spans="1:11" s="8" customFormat="1">
      <c r="A74" s="27" t="s">
        <v>95</v>
      </c>
      <c r="B74" s="27" t="s">
        <v>96</v>
      </c>
      <c r="C74" s="28">
        <v>2000</v>
      </c>
      <c r="D74" s="28">
        <v>2000</v>
      </c>
      <c r="E74" s="28"/>
      <c r="F74" s="28">
        <v>2000</v>
      </c>
      <c r="G74" s="28">
        <v>2000</v>
      </c>
      <c r="H74" s="28">
        <v>2000</v>
      </c>
      <c r="I74" s="28">
        <f t="shared" si="3"/>
        <v>0</v>
      </c>
      <c r="J74" s="28">
        <v>2000</v>
      </c>
      <c r="K74" s="28">
        <v>2000</v>
      </c>
    </row>
    <row r="75" spans="1:11" s="8" customFormat="1">
      <c r="A75" s="30" t="s">
        <v>116</v>
      </c>
      <c r="B75" s="31" t="s">
        <v>117</v>
      </c>
      <c r="C75" s="33">
        <f>SUM(C76:C79)</f>
        <v>22000</v>
      </c>
      <c r="D75" s="33">
        <f t="shared" ref="D75:K75" si="22">SUM(D76:D79)</f>
        <v>22000</v>
      </c>
      <c r="E75" s="33">
        <f t="shared" si="22"/>
        <v>0</v>
      </c>
      <c r="F75" s="33">
        <f t="shared" si="22"/>
        <v>22000</v>
      </c>
      <c r="G75" s="33">
        <f t="shared" si="22"/>
        <v>22000</v>
      </c>
      <c r="H75" s="33">
        <f t="shared" si="22"/>
        <v>215000</v>
      </c>
      <c r="I75" s="33">
        <f t="shared" si="22"/>
        <v>193000</v>
      </c>
      <c r="J75" s="33">
        <f t="shared" si="22"/>
        <v>215000</v>
      </c>
      <c r="K75" s="33">
        <f t="shared" si="22"/>
        <v>215000</v>
      </c>
    </row>
    <row r="76" spans="1:11" s="8" customFormat="1">
      <c r="A76" s="27" t="s">
        <v>118</v>
      </c>
      <c r="B76" s="27" t="s">
        <v>119</v>
      </c>
      <c r="C76" s="28">
        <v>5000</v>
      </c>
      <c r="D76" s="28">
        <v>5000</v>
      </c>
      <c r="E76" s="28"/>
      <c r="F76" s="28">
        <v>5000</v>
      </c>
      <c r="G76" s="28">
        <v>5000</v>
      </c>
      <c r="H76" s="28">
        <v>70000</v>
      </c>
      <c r="I76" s="28">
        <f t="shared" si="3"/>
        <v>65000</v>
      </c>
      <c r="J76" s="28">
        <v>70000</v>
      </c>
      <c r="K76" s="28">
        <v>70000</v>
      </c>
    </row>
    <row r="77" spans="1:11" s="8" customFormat="1">
      <c r="A77" s="27" t="s">
        <v>120</v>
      </c>
      <c r="B77" s="27" t="s">
        <v>121</v>
      </c>
      <c r="C77" s="28">
        <v>13000</v>
      </c>
      <c r="D77" s="28">
        <v>13000</v>
      </c>
      <c r="E77" s="28"/>
      <c r="F77" s="28">
        <v>13000</v>
      </c>
      <c r="G77" s="28">
        <v>13000</v>
      </c>
      <c r="H77" s="28">
        <v>50000</v>
      </c>
      <c r="I77" s="28">
        <f t="shared" ref="I77:I145" si="23">H77-D77</f>
        <v>37000</v>
      </c>
      <c r="J77" s="28">
        <v>50000</v>
      </c>
      <c r="K77" s="28">
        <v>50000</v>
      </c>
    </row>
    <row r="78" spans="1:11" s="8" customFormat="1">
      <c r="A78" s="27" t="s">
        <v>122</v>
      </c>
      <c r="B78" s="27" t="s">
        <v>123</v>
      </c>
      <c r="C78" s="28">
        <v>1000</v>
      </c>
      <c r="D78" s="28">
        <v>1000</v>
      </c>
      <c r="E78" s="28"/>
      <c r="F78" s="28">
        <v>1000</v>
      </c>
      <c r="G78" s="28">
        <v>1000</v>
      </c>
      <c r="H78" s="28">
        <v>25000</v>
      </c>
      <c r="I78" s="28">
        <f t="shared" si="23"/>
        <v>24000</v>
      </c>
      <c r="J78" s="28">
        <v>25000</v>
      </c>
      <c r="K78" s="28">
        <v>25000</v>
      </c>
    </row>
    <row r="79" spans="1:11" s="8" customFormat="1">
      <c r="A79" s="27" t="s">
        <v>124</v>
      </c>
      <c r="B79" s="27" t="s">
        <v>125</v>
      </c>
      <c r="C79" s="28">
        <v>3000</v>
      </c>
      <c r="D79" s="28">
        <v>3000</v>
      </c>
      <c r="E79" s="28"/>
      <c r="F79" s="28">
        <v>3000</v>
      </c>
      <c r="G79" s="28">
        <v>3000</v>
      </c>
      <c r="H79" s="28">
        <v>70000</v>
      </c>
      <c r="I79" s="28">
        <f t="shared" si="23"/>
        <v>67000</v>
      </c>
      <c r="J79" s="28">
        <v>70000</v>
      </c>
      <c r="K79" s="28">
        <v>70000</v>
      </c>
    </row>
    <row r="80" spans="1:11" s="8" customFormat="1">
      <c r="A80" s="30" t="s">
        <v>134</v>
      </c>
      <c r="B80" s="31" t="s">
        <v>135</v>
      </c>
      <c r="C80" s="33">
        <f>SUM(C81)</f>
        <v>0</v>
      </c>
      <c r="D80" s="33">
        <f t="shared" ref="D80:K80" si="24">SUM(D81)</f>
        <v>0</v>
      </c>
      <c r="E80" s="33">
        <f t="shared" si="24"/>
        <v>151100</v>
      </c>
      <c r="F80" s="33">
        <f t="shared" si="24"/>
        <v>0</v>
      </c>
      <c r="G80" s="33">
        <f t="shared" si="24"/>
        <v>0</v>
      </c>
      <c r="H80" s="33">
        <f t="shared" si="24"/>
        <v>150000</v>
      </c>
      <c r="I80" s="33">
        <f t="shared" si="24"/>
        <v>150000</v>
      </c>
      <c r="J80" s="33">
        <f t="shared" si="24"/>
        <v>150000</v>
      </c>
      <c r="K80" s="33">
        <f t="shared" si="24"/>
        <v>150000</v>
      </c>
    </row>
    <row r="81" spans="1:11" s="8" customFormat="1">
      <c r="A81" s="27" t="s">
        <v>137</v>
      </c>
      <c r="B81" s="27" t="s">
        <v>136</v>
      </c>
      <c r="C81" s="28"/>
      <c r="D81" s="28"/>
      <c r="E81" s="29">
        <v>151100</v>
      </c>
      <c r="F81" s="28"/>
      <c r="G81" s="28"/>
      <c r="H81" s="28">
        <v>150000</v>
      </c>
      <c r="I81" s="28">
        <f t="shared" si="23"/>
        <v>150000</v>
      </c>
      <c r="J81" s="28">
        <v>150000</v>
      </c>
      <c r="K81" s="28">
        <v>150000</v>
      </c>
    </row>
    <row r="82" spans="1:11" s="19" customFormat="1" ht="16.5" customHeight="1">
      <c r="A82" s="91" t="s">
        <v>140</v>
      </c>
      <c r="B82" s="92" t="s">
        <v>141</v>
      </c>
      <c r="C82" s="15">
        <f>SUM(C83)</f>
        <v>11000000</v>
      </c>
      <c r="D82" s="15">
        <f t="shared" ref="D82:K84" si="25">SUM(D83)</f>
        <v>11000000</v>
      </c>
      <c r="E82" s="15">
        <f t="shared" si="25"/>
        <v>0</v>
      </c>
      <c r="F82" s="15">
        <f t="shared" si="25"/>
        <v>11000000</v>
      </c>
      <c r="G82" s="15">
        <f t="shared" si="25"/>
        <v>0</v>
      </c>
      <c r="H82" s="15">
        <f t="shared" si="25"/>
        <v>6000000</v>
      </c>
      <c r="I82" s="15">
        <f t="shared" si="25"/>
        <v>-5000000</v>
      </c>
      <c r="J82" s="15">
        <f t="shared" si="25"/>
        <v>0</v>
      </c>
      <c r="K82" s="15">
        <f t="shared" si="25"/>
        <v>0</v>
      </c>
    </row>
    <row r="83" spans="1:11" s="8" customFormat="1">
      <c r="A83" s="77" t="s">
        <v>108</v>
      </c>
      <c r="B83" s="78" t="s">
        <v>109</v>
      </c>
      <c r="C83" s="79">
        <f>SUM(C84)</f>
        <v>11000000</v>
      </c>
      <c r="D83" s="79">
        <f t="shared" si="25"/>
        <v>11000000</v>
      </c>
      <c r="E83" s="79">
        <f t="shared" si="25"/>
        <v>0</v>
      </c>
      <c r="F83" s="79">
        <f t="shared" si="25"/>
        <v>11000000</v>
      </c>
      <c r="G83" s="79">
        <f t="shared" si="25"/>
        <v>0</v>
      </c>
      <c r="H83" s="79">
        <f t="shared" si="25"/>
        <v>6000000</v>
      </c>
      <c r="I83" s="79">
        <f t="shared" si="25"/>
        <v>-5000000</v>
      </c>
      <c r="J83" s="79">
        <f t="shared" si="25"/>
        <v>0</v>
      </c>
      <c r="K83" s="79">
        <f t="shared" si="25"/>
        <v>0</v>
      </c>
    </row>
    <row r="84" spans="1:11" s="8" customFormat="1">
      <c r="A84" s="30" t="s">
        <v>39</v>
      </c>
      <c r="B84" s="31" t="s">
        <v>40</v>
      </c>
      <c r="C84" s="33">
        <f>SUM(C85)</f>
        <v>11000000</v>
      </c>
      <c r="D84" s="33">
        <f t="shared" si="25"/>
        <v>11000000</v>
      </c>
      <c r="E84" s="33">
        <f t="shared" si="25"/>
        <v>0</v>
      </c>
      <c r="F84" s="33">
        <f t="shared" si="25"/>
        <v>11000000</v>
      </c>
      <c r="G84" s="33">
        <f t="shared" si="25"/>
        <v>0</v>
      </c>
      <c r="H84" s="33">
        <f t="shared" si="25"/>
        <v>6000000</v>
      </c>
      <c r="I84" s="33">
        <f t="shared" si="25"/>
        <v>-5000000</v>
      </c>
      <c r="J84" s="33">
        <f t="shared" si="25"/>
        <v>0</v>
      </c>
      <c r="K84" s="33">
        <f t="shared" si="25"/>
        <v>0</v>
      </c>
    </row>
    <row r="85" spans="1:11" s="8" customFormat="1">
      <c r="A85" s="27" t="s">
        <v>75</v>
      </c>
      <c r="B85" s="27" t="s">
        <v>76</v>
      </c>
      <c r="C85" s="28">
        <v>11000000</v>
      </c>
      <c r="D85" s="28">
        <v>11000000</v>
      </c>
      <c r="E85" s="28"/>
      <c r="F85" s="28">
        <v>11000000</v>
      </c>
      <c r="G85" s="28"/>
      <c r="H85" s="28">
        <v>6000000</v>
      </c>
      <c r="I85" s="28">
        <f t="shared" si="23"/>
        <v>-5000000</v>
      </c>
      <c r="J85" s="28"/>
      <c r="K85" s="28"/>
    </row>
    <row r="86" spans="1:11" s="19" customFormat="1" ht="16.5" customHeight="1">
      <c r="A86" s="16" t="s">
        <v>142</v>
      </c>
      <c r="B86" s="17" t="s">
        <v>143</v>
      </c>
      <c r="C86" s="18">
        <f>SUM(C87)</f>
        <v>5000000</v>
      </c>
      <c r="D86" s="18">
        <f t="shared" ref="D86:K86" si="26">SUM(D87)</f>
        <v>5000000</v>
      </c>
      <c r="E86" s="18">
        <f t="shared" si="26"/>
        <v>0</v>
      </c>
      <c r="F86" s="18">
        <f t="shared" si="26"/>
        <v>0</v>
      </c>
      <c r="G86" s="18">
        <f t="shared" si="26"/>
        <v>0</v>
      </c>
      <c r="H86" s="18">
        <f t="shared" si="26"/>
        <v>4600000</v>
      </c>
      <c r="I86" s="18">
        <f t="shared" si="26"/>
        <v>-400000</v>
      </c>
      <c r="J86" s="18">
        <f t="shared" si="26"/>
        <v>0</v>
      </c>
      <c r="K86" s="18">
        <f t="shared" si="26"/>
        <v>0</v>
      </c>
    </row>
    <row r="87" spans="1:11" s="8" customFormat="1" ht="20.399999999999999">
      <c r="A87" s="63" t="s">
        <v>309</v>
      </c>
      <c r="B87" s="63" t="s">
        <v>310</v>
      </c>
      <c r="C87" s="63">
        <f>SUM(C88,C90)</f>
        <v>5000000</v>
      </c>
      <c r="D87" s="63">
        <f t="shared" ref="D87:K87" si="27">SUM(D88,D90)</f>
        <v>5000000</v>
      </c>
      <c r="E87" s="63">
        <f t="shared" si="27"/>
        <v>0</v>
      </c>
      <c r="F87" s="63">
        <f t="shared" si="27"/>
        <v>0</v>
      </c>
      <c r="G87" s="63">
        <f t="shared" si="27"/>
        <v>0</v>
      </c>
      <c r="H87" s="63">
        <f t="shared" si="27"/>
        <v>4600000</v>
      </c>
      <c r="I87" s="63">
        <f t="shared" si="27"/>
        <v>-400000</v>
      </c>
      <c r="J87" s="63">
        <f t="shared" si="27"/>
        <v>0</v>
      </c>
      <c r="K87" s="63">
        <f t="shared" si="27"/>
        <v>0</v>
      </c>
    </row>
    <row r="88" spans="1:11" s="8" customFormat="1">
      <c r="A88" s="30" t="s">
        <v>39</v>
      </c>
      <c r="B88" s="31" t="s">
        <v>40</v>
      </c>
      <c r="C88" s="33">
        <f>SUM(C89)</f>
        <v>1500000</v>
      </c>
      <c r="D88" s="33">
        <f t="shared" ref="D88:K88" si="28">SUM(D89)</f>
        <v>1500000</v>
      </c>
      <c r="E88" s="33">
        <f t="shared" si="28"/>
        <v>0</v>
      </c>
      <c r="F88" s="33">
        <f t="shared" si="28"/>
        <v>0</v>
      </c>
      <c r="G88" s="33">
        <f t="shared" si="28"/>
        <v>0</v>
      </c>
      <c r="H88" s="33">
        <f t="shared" si="28"/>
        <v>1100000</v>
      </c>
      <c r="I88" s="33">
        <f t="shared" si="28"/>
        <v>-400000</v>
      </c>
      <c r="J88" s="33">
        <f t="shared" si="28"/>
        <v>0</v>
      </c>
      <c r="K88" s="33">
        <f t="shared" si="28"/>
        <v>0</v>
      </c>
    </row>
    <row r="89" spans="1:11" s="8" customFormat="1">
      <c r="A89" s="27" t="s">
        <v>75</v>
      </c>
      <c r="B89" s="27" t="s">
        <v>76</v>
      </c>
      <c r="C89" s="28">
        <v>1500000</v>
      </c>
      <c r="D89" s="28">
        <v>1500000</v>
      </c>
      <c r="E89" s="29"/>
      <c r="F89" s="28"/>
      <c r="G89" s="28"/>
      <c r="H89" s="132">
        <v>1100000</v>
      </c>
      <c r="I89" s="28">
        <f t="shared" si="23"/>
        <v>-400000</v>
      </c>
      <c r="J89" s="28"/>
      <c r="K89" s="28"/>
    </row>
    <row r="90" spans="1:11" s="8" customFormat="1">
      <c r="A90" s="30" t="s">
        <v>116</v>
      </c>
      <c r="B90" s="31" t="s">
        <v>117</v>
      </c>
      <c r="C90" s="33">
        <f>SUM(C91)</f>
        <v>3500000</v>
      </c>
      <c r="D90" s="33">
        <f t="shared" ref="D90:K90" si="29">SUM(D91)</f>
        <v>3500000</v>
      </c>
      <c r="E90" s="33">
        <f t="shared" si="29"/>
        <v>0</v>
      </c>
      <c r="F90" s="33">
        <f t="shared" si="29"/>
        <v>0</v>
      </c>
      <c r="G90" s="33">
        <f t="shared" si="29"/>
        <v>0</v>
      </c>
      <c r="H90" s="33">
        <f t="shared" si="29"/>
        <v>3500000</v>
      </c>
      <c r="I90" s="33">
        <f t="shared" si="29"/>
        <v>0</v>
      </c>
      <c r="J90" s="33">
        <f t="shared" si="29"/>
        <v>0</v>
      </c>
      <c r="K90" s="33">
        <f t="shared" si="29"/>
        <v>0</v>
      </c>
    </row>
    <row r="91" spans="1:11" s="8" customFormat="1">
      <c r="A91" s="27" t="s">
        <v>124</v>
      </c>
      <c r="B91" s="27" t="s">
        <v>125</v>
      </c>
      <c r="C91" s="28">
        <v>3500000</v>
      </c>
      <c r="D91" s="28">
        <v>3500000</v>
      </c>
      <c r="E91" s="29"/>
      <c r="F91" s="28"/>
      <c r="G91" s="28"/>
      <c r="H91" s="132">
        <v>3500000</v>
      </c>
      <c r="I91" s="28">
        <f t="shared" si="23"/>
        <v>0</v>
      </c>
      <c r="J91" s="28"/>
      <c r="K91" s="28"/>
    </row>
    <row r="92" spans="1:11" s="19" customFormat="1" ht="16.5" customHeight="1">
      <c r="A92" s="91" t="s">
        <v>152</v>
      </c>
      <c r="B92" s="92" t="s">
        <v>153</v>
      </c>
      <c r="C92" s="15" t="e">
        <f>SUM(C93,#REF!)</f>
        <v>#REF!</v>
      </c>
      <c r="D92" s="15" t="e">
        <f>SUM(D93,#REF!)</f>
        <v>#REF!</v>
      </c>
      <c r="E92" s="15" t="e">
        <f>SUM(E93,#REF!)</f>
        <v>#REF!</v>
      </c>
      <c r="F92" s="15" t="e">
        <f>SUM(F93,#REF!)</f>
        <v>#REF!</v>
      </c>
      <c r="G92" s="15" t="e">
        <f>SUM(G93,#REF!)</f>
        <v>#REF!</v>
      </c>
      <c r="H92" s="15">
        <f>SUM(H93)</f>
        <v>0</v>
      </c>
      <c r="I92" s="15">
        <f t="shared" ref="I92:K92" si="30">SUM(I93)</f>
        <v>-100000</v>
      </c>
      <c r="J92" s="15">
        <f t="shared" si="30"/>
        <v>0</v>
      </c>
      <c r="K92" s="15">
        <f t="shared" si="30"/>
        <v>0</v>
      </c>
    </row>
    <row r="93" spans="1:11" s="8" customFormat="1">
      <c r="A93" s="61" t="s">
        <v>126</v>
      </c>
      <c r="B93" s="62" t="s">
        <v>127</v>
      </c>
      <c r="C93" s="63">
        <f>SUM(C94)</f>
        <v>100000</v>
      </c>
      <c r="D93" s="63">
        <f t="shared" ref="D93:K94" si="31">SUM(D94)</f>
        <v>100000</v>
      </c>
      <c r="E93" s="63">
        <f t="shared" si="31"/>
        <v>0</v>
      </c>
      <c r="F93" s="63">
        <f t="shared" si="31"/>
        <v>0</v>
      </c>
      <c r="G93" s="63">
        <f t="shared" si="31"/>
        <v>0</v>
      </c>
      <c r="H93" s="63">
        <f t="shared" si="31"/>
        <v>0</v>
      </c>
      <c r="I93" s="63">
        <f t="shared" si="31"/>
        <v>-100000</v>
      </c>
      <c r="J93" s="63">
        <f t="shared" si="31"/>
        <v>0</v>
      </c>
      <c r="K93" s="63">
        <f t="shared" si="31"/>
        <v>0</v>
      </c>
    </row>
    <row r="94" spans="1:11" s="8" customFormat="1">
      <c r="A94" s="30" t="s">
        <v>134</v>
      </c>
      <c r="B94" s="31" t="s">
        <v>135</v>
      </c>
      <c r="C94" s="33">
        <f>SUM(C95)</f>
        <v>100000</v>
      </c>
      <c r="D94" s="33">
        <f t="shared" si="31"/>
        <v>100000</v>
      </c>
      <c r="E94" s="33">
        <f t="shared" si="31"/>
        <v>0</v>
      </c>
      <c r="F94" s="33">
        <f t="shared" si="31"/>
        <v>0</v>
      </c>
      <c r="G94" s="33">
        <f t="shared" si="31"/>
        <v>0</v>
      </c>
      <c r="H94" s="33">
        <f t="shared" si="31"/>
        <v>0</v>
      </c>
      <c r="I94" s="33">
        <f t="shared" si="31"/>
        <v>-100000</v>
      </c>
      <c r="J94" s="33">
        <f t="shared" si="31"/>
        <v>0</v>
      </c>
      <c r="K94" s="33">
        <f t="shared" si="31"/>
        <v>0</v>
      </c>
    </row>
    <row r="95" spans="1:11" s="8" customFormat="1">
      <c r="A95" s="27" t="s">
        <v>137</v>
      </c>
      <c r="B95" s="27" t="s">
        <v>136</v>
      </c>
      <c r="C95" s="28">
        <v>100000</v>
      </c>
      <c r="D95" s="28">
        <v>100000</v>
      </c>
      <c r="E95" s="28"/>
      <c r="F95" s="28"/>
      <c r="G95" s="28"/>
      <c r="H95" s="28"/>
      <c r="I95" s="28">
        <f t="shared" si="23"/>
        <v>-100000</v>
      </c>
      <c r="J95" s="28"/>
      <c r="K95" s="28"/>
    </row>
    <row r="96" spans="1:11" s="12" customFormat="1" ht="20.399999999999999">
      <c r="A96" s="89" t="s">
        <v>166</v>
      </c>
      <c r="B96" s="90" t="s">
        <v>167</v>
      </c>
      <c r="C96" s="11">
        <f>SUM(C97)</f>
        <v>11719000</v>
      </c>
      <c r="D96" s="11">
        <f t="shared" ref="D96:K96" si="32">SUM(D97)</f>
        <v>11719000</v>
      </c>
      <c r="E96" s="11">
        <f t="shared" si="32"/>
        <v>5769705.6600000001</v>
      </c>
      <c r="F96" s="11">
        <f t="shared" si="32"/>
        <v>11719000</v>
      </c>
      <c r="G96" s="11">
        <f t="shared" si="32"/>
        <v>11719000</v>
      </c>
      <c r="H96" s="11">
        <f t="shared" si="32"/>
        <v>12320000</v>
      </c>
      <c r="I96" s="11">
        <f t="shared" si="32"/>
        <v>601000</v>
      </c>
      <c r="J96" s="11">
        <f t="shared" si="32"/>
        <v>12320000</v>
      </c>
      <c r="K96" s="11">
        <f t="shared" si="32"/>
        <v>12320000</v>
      </c>
    </row>
    <row r="97" spans="1:11" s="8" customFormat="1">
      <c r="A97" s="77" t="s">
        <v>108</v>
      </c>
      <c r="B97" s="78" t="s">
        <v>109</v>
      </c>
      <c r="C97" s="79">
        <f>SUM(C98,C115,C118,C124,C127)</f>
        <v>11719000</v>
      </c>
      <c r="D97" s="79">
        <f t="shared" ref="D97:K97" si="33">SUM(D98,D115,D118,D124,D127)</f>
        <v>11719000</v>
      </c>
      <c r="E97" s="79">
        <f t="shared" si="33"/>
        <v>5769705.6600000001</v>
      </c>
      <c r="F97" s="79">
        <f t="shared" si="33"/>
        <v>11719000</v>
      </c>
      <c r="G97" s="79">
        <f t="shared" si="33"/>
        <v>11719000</v>
      </c>
      <c r="H97" s="79">
        <f t="shared" si="33"/>
        <v>12320000</v>
      </c>
      <c r="I97" s="79">
        <f t="shared" si="33"/>
        <v>601000</v>
      </c>
      <c r="J97" s="79">
        <f t="shared" si="33"/>
        <v>12320000</v>
      </c>
      <c r="K97" s="79">
        <f t="shared" si="33"/>
        <v>12320000</v>
      </c>
    </row>
    <row r="98" spans="1:11" s="8" customFormat="1">
      <c r="A98" s="30" t="s">
        <v>39</v>
      </c>
      <c r="B98" s="31" t="s">
        <v>40</v>
      </c>
      <c r="C98" s="33">
        <f>SUM(C99:C114)</f>
        <v>3479000</v>
      </c>
      <c r="D98" s="33">
        <f t="shared" ref="D98:K98" si="34">SUM(D99:D114)</f>
        <v>3479000</v>
      </c>
      <c r="E98" s="33">
        <f t="shared" si="34"/>
        <v>2157747.13</v>
      </c>
      <c r="F98" s="33">
        <f t="shared" si="34"/>
        <v>3479000</v>
      </c>
      <c r="G98" s="33">
        <f t="shared" si="34"/>
        <v>3479000</v>
      </c>
      <c r="H98" s="33">
        <f t="shared" si="34"/>
        <v>3900000</v>
      </c>
      <c r="I98" s="33">
        <f t="shared" si="34"/>
        <v>421000</v>
      </c>
      <c r="J98" s="33">
        <f t="shared" si="34"/>
        <v>3900000</v>
      </c>
      <c r="K98" s="33">
        <f t="shared" si="34"/>
        <v>3900000</v>
      </c>
    </row>
    <row r="99" spans="1:11" s="87" customFormat="1">
      <c r="A99" s="27" t="s">
        <v>41</v>
      </c>
      <c r="B99" s="27" t="s">
        <v>42</v>
      </c>
      <c r="C99" s="57"/>
      <c r="D99" s="57"/>
      <c r="E99" s="86">
        <v>618</v>
      </c>
      <c r="F99" s="57"/>
      <c r="G99" s="57"/>
      <c r="H99" s="57">
        <v>1000</v>
      </c>
      <c r="I99" s="57">
        <f t="shared" si="23"/>
        <v>1000</v>
      </c>
      <c r="J99" s="57">
        <v>1000</v>
      </c>
      <c r="K99" s="57">
        <v>1000</v>
      </c>
    </row>
    <row r="100" spans="1:11" s="87" customFormat="1">
      <c r="A100" s="27" t="s">
        <v>45</v>
      </c>
      <c r="B100" s="27" t="s">
        <v>46</v>
      </c>
      <c r="C100" s="57">
        <v>75000</v>
      </c>
      <c r="D100" s="57">
        <v>75000</v>
      </c>
      <c r="E100" s="86">
        <v>64770</v>
      </c>
      <c r="F100" s="57">
        <v>75000</v>
      </c>
      <c r="G100" s="57">
        <v>75000</v>
      </c>
      <c r="H100" s="57">
        <v>75000</v>
      </c>
      <c r="I100" s="57">
        <f t="shared" si="23"/>
        <v>0</v>
      </c>
      <c r="J100" s="57">
        <v>75000</v>
      </c>
      <c r="K100" s="57">
        <v>75000</v>
      </c>
    </row>
    <row r="101" spans="1:11" s="87" customFormat="1">
      <c r="A101" s="27" t="s">
        <v>49</v>
      </c>
      <c r="B101" s="27" t="s">
        <v>50</v>
      </c>
      <c r="C101" s="57">
        <v>67000</v>
      </c>
      <c r="D101" s="57">
        <v>67000</v>
      </c>
      <c r="E101" s="86">
        <v>4636</v>
      </c>
      <c r="F101" s="57">
        <v>67000</v>
      </c>
      <c r="G101" s="57">
        <v>67000</v>
      </c>
      <c r="H101" s="57">
        <v>67000</v>
      </c>
      <c r="I101" s="57">
        <f t="shared" si="23"/>
        <v>0</v>
      </c>
      <c r="J101" s="57">
        <v>67000</v>
      </c>
      <c r="K101" s="57">
        <v>67000</v>
      </c>
    </row>
    <row r="102" spans="1:11" s="87" customFormat="1">
      <c r="A102" s="27" t="s">
        <v>51</v>
      </c>
      <c r="B102" s="27" t="s">
        <v>52</v>
      </c>
      <c r="C102" s="57">
        <v>102000</v>
      </c>
      <c r="D102" s="57">
        <v>102000</v>
      </c>
      <c r="E102" s="86">
        <v>61617.5</v>
      </c>
      <c r="F102" s="57">
        <v>102000</v>
      </c>
      <c r="G102" s="57">
        <v>102000</v>
      </c>
      <c r="H102" s="57">
        <v>102000</v>
      </c>
      <c r="I102" s="57">
        <f t="shared" si="23"/>
        <v>0</v>
      </c>
      <c r="J102" s="57">
        <v>102000</v>
      </c>
      <c r="K102" s="57">
        <v>102000</v>
      </c>
    </row>
    <row r="103" spans="1:11" s="87" customFormat="1">
      <c r="A103" s="27" t="s">
        <v>53</v>
      </c>
      <c r="B103" s="27" t="s">
        <v>54</v>
      </c>
      <c r="C103" s="57">
        <v>800000</v>
      </c>
      <c r="D103" s="57">
        <v>800000</v>
      </c>
      <c r="E103" s="86">
        <v>360433.9</v>
      </c>
      <c r="F103" s="57">
        <v>800000</v>
      </c>
      <c r="G103" s="57">
        <v>800000</v>
      </c>
      <c r="H103" s="57">
        <v>800000</v>
      </c>
      <c r="I103" s="57">
        <f t="shared" si="23"/>
        <v>0</v>
      </c>
      <c r="J103" s="57">
        <v>800000</v>
      </c>
      <c r="K103" s="57">
        <v>800000</v>
      </c>
    </row>
    <row r="104" spans="1:11" s="87" customFormat="1">
      <c r="A104" s="27" t="s">
        <v>55</v>
      </c>
      <c r="B104" s="27" t="s">
        <v>56</v>
      </c>
      <c r="C104" s="57">
        <v>210000</v>
      </c>
      <c r="D104" s="57">
        <v>210000</v>
      </c>
      <c r="E104" s="86">
        <v>98475</v>
      </c>
      <c r="F104" s="57">
        <v>210000</v>
      </c>
      <c r="G104" s="57">
        <v>210000</v>
      </c>
      <c r="H104" s="57">
        <v>210000</v>
      </c>
      <c r="I104" s="57">
        <f t="shared" si="23"/>
        <v>0</v>
      </c>
      <c r="J104" s="57">
        <v>210000</v>
      </c>
      <c r="K104" s="57">
        <v>210000</v>
      </c>
    </row>
    <row r="105" spans="1:11" s="87" customFormat="1">
      <c r="A105" s="27" t="s">
        <v>57</v>
      </c>
      <c r="B105" s="27" t="s">
        <v>58</v>
      </c>
      <c r="C105" s="57">
        <v>30000</v>
      </c>
      <c r="D105" s="57">
        <v>30000</v>
      </c>
      <c r="E105" s="86">
        <v>19203.63</v>
      </c>
      <c r="F105" s="57">
        <v>30000</v>
      </c>
      <c r="G105" s="57">
        <v>30000</v>
      </c>
      <c r="H105" s="57">
        <v>30000</v>
      </c>
      <c r="I105" s="57">
        <f t="shared" si="23"/>
        <v>0</v>
      </c>
      <c r="J105" s="57">
        <v>30000</v>
      </c>
      <c r="K105" s="57">
        <v>30000</v>
      </c>
    </row>
    <row r="106" spans="1:11" s="87" customFormat="1">
      <c r="A106" s="27" t="s">
        <v>59</v>
      </c>
      <c r="B106" s="27" t="s">
        <v>60</v>
      </c>
      <c r="C106" s="57">
        <v>638000</v>
      </c>
      <c r="D106" s="57">
        <v>638000</v>
      </c>
      <c r="E106" s="57"/>
      <c r="F106" s="57">
        <v>638000</v>
      </c>
      <c r="G106" s="57">
        <v>638000</v>
      </c>
      <c r="H106" s="57">
        <v>638000</v>
      </c>
      <c r="I106" s="57">
        <f t="shared" si="23"/>
        <v>0</v>
      </c>
      <c r="J106" s="57">
        <v>638000</v>
      </c>
      <c r="K106" s="57">
        <v>638000</v>
      </c>
    </row>
    <row r="107" spans="1:11" s="87" customFormat="1">
      <c r="A107" s="27" t="s">
        <v>63</v>
      </c>
      <c r="B107" s="27" t="s">
        <v>64</v>
      </c>
      <c r="C107" s="57">
        <v>1082000</v>
      </c>
      <c r="D107" s="57">
        <v>1082000</v>
      </c>
      <c r="E107" s="86">
        <v>1452305.41</v>
      </c>
      <c r="F107" s="57">
        <v>1082000</v>
      </c>
      <c r="G107" s="57">
        <v>1082000</v>
      </c>
      <c r="H107" s="57">
        <v>1500000</v>
      </c>
      <c r="I107" s="57">
        <f t="shared" si="23"/>
        <v>418000</v>
      </c>
      <c r="J107" s="57">
        <v>1500000</v>
      </c>
      <c r="K107" s="57">
        <v>1500000</v>
      </c>
    </row>
    <row r="108" spans="1:11" s="87" customFormat="1">
      <c r="A108" s="27" t="s">
        <v>65</v>
      </c>
      <c r="B108" s="27" t="s">
        <v>66</v>
      </c>
      <c r="C108" s="57">
        <v>220000</v>
      </c>
      <c r="D108" s="57">
        <v>220000</v>
      </c>
      <c r="E108" s="86">
        <v>71092.2</v>
      </c>
      <c r="F108" s="57">
        <v>220000</v>
      </c>
      <c r="G108" s="57">
        <v>220000</v>
      </c>
      <c r="H108" s="57">
        <v>220000</v>
      </c>
      <c r="I108" s="57">
        <f t="shared" si="23"/>
        <v>0</v>
      </c>
      <c r="J108" s="57">
        <v>220000</v>
      </c>
      <c r="K108" s="57">
        <v>220000</v>
      </c>
    </row>
    <row r="109" spans="1:11" s="87" customFormat="1">
      <c r="A109" s="27" t="s">
        <v>69</v>
      </c>
      <c r="B109" s="27" t="s">
        <v>70</v>
      </c>
      <c r="C109" s="57">
        <v>37000</v>
      </c>
      <c r="D109" s="57">
        <v>37000</v>
      </c>
      <c r="E109" s="57"/>
      <c r="F109" s="57">
        <v>37000</v>
      </c>
      <c r="G109" s="57">
        <v>37000</v>
      </c>
      <c r="H109" s="57">
        <v>37000</v>
      </c>
      <c r="I109" s="57">
        <f t="shared" si="23"/>
        <v>0</v>
      </c>
      <c r="J109" s="57">
        <v>37000</v>
      </c>
      <c r="K109" s="57">
        <v>37000</v>
      </c>
    </row>
    <row r="110" spans="1:11" s="87" customFormat="1">
      <c r="A110" s="27" t="s">
        <v>73</v>
      </c>
      <c r="B110" s="27" t="s">
        <v>74</v>
      </c>
      <c r="C110" s="57">
        <v>2000</v>
      </c>
      <c r="D110" s="57">
        <v>2000</v>
      </c>
      <c r="E110" s="57"/>
      <c r="F110" s="57">
        <v>2000</v>
      </c>
      <c r="G110" s="57">
        <v>2000</v>
      </c>
      <c r="H110" s="57">
        <v>2000</v>
      </c>
      <c r="I110" s="57">
        <f t="shared" si="23"/>
        <v>0</v>
      </c>
      <c r="J110" s="57">
        <v>2000</v>
      </c>
      <c r="K110" s="57">
        <v>2000</v>
      </c>
    </row>
    <row r="111" spans="1:11" s="87" customFormat="1">
      <c r="A111" s="27" t="s">
        <v>132</v>
      </c>
      <c r="B111" s="27" t="s">
        <v>133</v>
      </c>
      <c r="C111" s="57">
        <v>21000</v>
      </c>
      <c r="D111" s="57">
        <v>21000</v>
      </c>
      <c r="E111" s="86">
        <v>1225.96</v>
      </c>
      <c r="F111" s="57">
        <v>21000</v>
      </c>
      <c r="G111" s="57">
        <v>21000</v>
      </c>
      <c r="H111" s="57">
        <v>21000</v>
      </c>
      <c r="I111" s="57">
        <f t="shared" si="23"/>
        <v>0</v>
      </c>
      <c r="J111" s="57">
        <v>21000</v>
      </c>
      <c r="K111" s="57">
        <v>21000</v>
      </c>
    </row>
    <row r="112" spans="1:11" s="87" customFormat="1">
      <c r="A112" s="27" t="s">
        <v>84</v>
      </c>
      <c r="B112" s="27" t="s">
        <v>85</v>
      </c>
      <c r="C112" s="57"/>
      <c r="D112" s="57"/>
      <c r="E112" s="86">
        <v>1584.59</v>
      </c>
      <c r="F112" s="57"/>
      <c r="G112" s="57"/>
      <c r="H112" s="57">
        <v>2000</v>
      </c>
      <c r="I112" s="57">
        <f t="shared" si="23"/>
        <v>2000</v>
      </c>
      <c r="J112" s="57">
        <v>2000</v>
      </c>
      <c r="K112" s="57">
        <v>2000</v>
      </c>
    </row>
    <row r="113" spans="1:11" s="87" customFormat="1">
      <c r="A113" s="27" t="s">
        <v>86</v>
      </c>
      <c r="B113" s="27" t="s">
        <v>87</v>
      </c>
      <c r="C113" s="57">
        <v>52000</v>
      </c>
      <c r="D113" s="57">
        <v>52000</v>
      </c>
      <c r="E113" s="86">
        <v>5000</v>
      </c>
      <c r="F113" s="57">
        <v>52000</v>
      </c>
      <c r="G113" s="57">
        <v>52000</v>
      </c>
      <c r="H113" s="57">
        <v>52000</v>
      </c>
      <c r="I113" s="57">
        <f t="shared" si="23"/>
        <v>0</v>
      </c>
      <c r="J113" s="57">
        <v>52000</v>
      </c>
      <c r="K113" s="57">
        <v>52000</v>
      </c>
    </row>
    <row r="114" spans="1:11" s="87" customFormat="1">
      <c r="A114" s="27" t="s">
        <v>92</v>
      </c>
      <c r="B114" s="27" t="s">
        <v>79</v>
      </c>
      <c r="C114" s="57">
        <v>143000</v>
      </c>
      <c r="D114" s="57">
        <v>143000</v>
      </c>
      <c r="E114" s="86">
        <v>16784.939999999999</v>
      </c>
      <c r="F114" s="57">
        <v>143000</v>
      </c>
      <c r="G114" s="57">
        <v>143000</v>
      </c>
      <c r="H114" s="57">
        <v>143000</v>
      </c>
      <c r="I114" s="57">
        <f t="shared" si="23"/>
        <v>0</v>
      </c>
      <c r="J114" s="57">
        <v>143000</v>
      </c>
      <c r="K114" s="57">
        <v>143000</v>
      </c>
    </row>
    <row r="115" spans="1:11" s="8" customFormat="1">
      <c r="A115" s="30" t="s">
        <v>168</v>
      </c>
      <c r="B115" s="31" t="s">
        <v>169</v>
      </c>
      <c r="C115" s="33">
        <f>SUM(C116:C117)</f>
        <v>157000</v>
      </c>
      <c r="D115" s="33">
        <f t="shared" ref="D115:K115" si="35">SUM(D116:D117)</f>
        <v>157000</v>
      </c>
      <c r="E115" s="33">
        <f t="shared" si="35"/>
        <v>107243.93</v>
      </c>
      <c r="F115" s="33">
        <f t="shared" si="35"/>
        <v>157000</v>
      </c>
      <c r="G115" s="33">
        <f t="shared" si="35"/>
        <v>157000</v>
      </c>
      <c r="H115" s="33">
        <f>SUM(H116:H117)</f>
        <v>157000</v>
      </c>
      <c r="I115" s="33">
        <f t="shared" si="35"/>
        <v>0</v>
      </c>
      <c r="J115" s="33">
        <f t="shared" si="35"/>
        <v>157000</v>
      </c>
      <c r="K115" s="33">
        <f t="shared" si="35"/>
        <v>157000</v>
      </c>
    </row>
    <row r="116" spans="1:11" s="8" customFormat="1">
      <c r="A116" s="27" t="s">
        <v>170</v>
      </c>
      <c r="B116" s="27" t="s">
        <v>171</v>
      </c>
      <c r="C116" s="28">
        <v>53000</v>
      </c>
      <c r="D116" s="28">
        <v>53000</v>
      </c>
      <c r="E116" s="28"/>
      <c r="F116" s="28">
        <v>53000</v>
      </c>
      <c r="G116" s="28">
        <v>53000</v>
      </c>
      <c r="H116" s="28">
        <v>53000</v>
      </c>
      <c r="I116" s="28">
        <f t="shared" si="23"/>
        <v>0</v>
      </c>
      <c r="J116" s="28">
        <v>53000</v>
      </c>
      <c r="K116" s="28">
        <v>53000</v>
      </c>
    </row>
    <row r="117" spans="1:11" s="8" customFormat="1" ht="20.399999999999999">
      <c r="A117" s="27" t="s">
        <v>172</v>
      </c>
      <c r="B117" s="27" t="s">
        <v>173</v>
      </c>
      <c r="C117" s="28">
        <v>104000</v>
      </c>
      <c r="D117" s="28">
        <v>104000</v>
      </c>
      <c r="E117" s="29">
        <v>107243.93</v>
      </c>
      <c r="F117" s="28">
        <v>104000</v>
      </c>
      <c r="G117" s="28">
        <v>104000</v>
      </c>
      <c r="H117" s="28">
        <v>104000</v>
      </c>
      <c r="I117" s="28">
        <f t="shared" si="23"/>
        <v>0</v>
      </c>
      <c r="J117" s="28">
        <v>104000</v>
      </c>
      <c r="K117" s="28">
        <v>104000</v>
      </c>
    </row>
    <row r="118" spans="1:11" s="8" customFormat="1">
      <c r="A118" s="30" t="s">
        <v>174</v>
      </c>
      <c r="B118" s="31" t="s">
        <v>175</v>
      </c>
      <c r="C118" s="33">
        <f>SUM(C119:C123)</f>
        <v>2667000</v>
      </c>
      <c r="D118" s="33">
        <f t="shared" ref="D118:K118" si="36">SUM(D119:D123)</f>
        <v>2667000</v>
      </c>
      <c r="E118" s="33">
        <f t="shared" si="36"/>
        <v>2304958.23</v>
      </c>
      <c r="F118" s="33">
        <f t="shared" si="36"/>
        <v>2667000</v>
      </c>
      <c r="G118" s="33">
        <f t="shared" si="36"/>
        <v>2667000</v>
      </c>
      <c r="H118" s="33">
        <f t="shared" si="36"/>
        <v>2682000</v>
      </c>
      <c r="I118" s="33">
        <f t="shared" si="36"/>
        <v>15000</v>
      </c>
      <c r="J118" s="33">
        <f t="shared" si="36"/>
        <v>2682000</v>
      </c>
      <c r="K118" s="33">
        <f t="shared" si="36"/>
        <v>2682000</v>
      </c>
    </row>
    <row r="119" spans="1:11" s="8" customFormat="1" ht="20.399999999999999">
      <c r="A119" s="27" t="s">
        <v>176</v>
      </c>
      <c r="B119" s="27" t="s">
        <v>177</v>
      </c>
      <c r="C119" s="28">
        <v>5000</v>
      </c>
      <c r="D119" s="28">
        <v>5000</v>
      </c>
      <c r="E119" s="29">
        <v>15930.64</v>
      </c>
      <c r="F119" s="28">
        <v>5000</v>
      </c>
      <c r="G119" s="28">
        <v>5000</v>
      </c>
      <c r="H119" s="28">
        <v>20000</v>
      </c>
      <c r="I119" s="28">
        <f t="shared" si="23"/>
        <v>15000</v>
      </c>
      <c r="J119" s="28">
        <v>20000</v>
      </c>
      <c r="K119" s="28">
        <v>20000</v>
      </c>
    </row>
    <row r="120" spans="1:11" s="8" customFormat="1" ht="20.399999999999999">
      <c r="A120" s="27" t="s">
        <v>178</v>
      </c>
      <c r="B120" s="27" t="s">
        <v>179</v>
      </c>
      <c r="C120" s="28">
        <v>1350000</v>
      </c>
      <c r="D120" s="28">
        <v>1350000</v>
      </c>
      <c r="E120" s="29">
        <v>906209.06</v>
      </c>
      <c r="F120" s="28">
        <v>1350000</v>
      </c>
      <c r="G120" s="28">
        <v>1350000</v>
      </c>
      <c r="H120" s="28">
        <v>1350000</v>
      </c>
      <c r="I120" s="28">
        <f t="shared" si="23"/>
        <v>0</v>
      </c>
      <c r="J120" s="28">
        <v>1350000</v>
      </c>
      <c r="K120" s="28">
        <v>1350000</v>
      </c>
    </row>
    <row r="121" spans="1:11" s="8" customFormat="1" ht="20.399999999999999">
      <c r="A121" s="27" t="s">
        <v>180</v>
      </c>
      <c r="B121" s="27" t="s">
        <v>181</v>
      </c>
      <c r="C121" s="28">
        <v>12000</v>
      </c>
      <c r="D121" s="28">
        <v>12000</v>
      </c>
      <c r="E121" s="28"/>
      <c r="F121" s="28">
        <v>12000</v>
      </c>
      <c r="G121" s="28">
        <v>12000</v>
      </c>
      <c r="H121" s="28">
        <v>12000</v>
      </c>
      <c r="I121" s="28">
        <f t="shared" si="23"/>
        <v>0</v>
      </c>
      <c r="J121" s="28">
        <v>12000</v>
      </c>
      <c r="K121" s="28">
        <v>12000</v>
      </c>
    </row>
    <row r="122" spans="1:11" s="8" customFormat="1" ht="20.399999999999999">
      <c r="A122" s="27" t="s">
        <v>182</v>
      </c>
      <c r="B122" s="27" t="s">
        <v>183</v>
      </c>
      <c r="C122" s="28">
        <v>700000</v>
      </c>
      <c r="D122" s="28">
        <v>700000</v>
      </c>
      <c r="E122" s="29">
        <v>622318.53</v>
      </c>
      <c r="F122" s="28">
        <v>700000</v>
      </c>
      <c r="G122" s="28">
        <v>700000</v>
      </c>
      <c r="H122" s="28">
        <v>700000</v>
      </c>
      <c r="I122" s="28">
        <f t="shared" si="23"/>
        <v>0</v>
      </c>
      <c r="J122" s="28">
        <v>700000</v>
      </c>
      <c r="K122" s="28">
        <v>700000</v>
      </c>
    </row>
    <row r="123" spans="1:11" s="8" customFormat="1" ht="20.399999999999999">
      <c r="A123" s="27" t="s">
        <v>184</v>
      </c>
      <c r="B123" s="27" t="s">
        <v>185</v>
      </c>
      <c r="C123" s="28">
        <v>600000</v>
      </c>
      <c r="D123" s="28">
        <v>600000</v>
      </c>
      <c r="E123" s="29">
        <v>760500</v>
      </c>
      <c r="F123" s="28">
        <v>600000</v>
      </c>
      <c r="G123" s="28">
        <v>600000</v>
      </c>
      <c r="H123" s="28">
        <v>600000</v>
      </c>
      <c r="I123" s="28">
        <f t="shared" si="23"/>
        <v>0</v>
      </c>
      <c r="J123" s="28">
        <v>600000</v>
      </c>
      <c r="K123" s="28">
        <v>600000</v>
      </c>
    </row>
    <row r="124" spans="1:11" s="8" customFormat="1" ht="20.399999999999999">
      <c r="A124" s="30" t="s">
        <v>19</v>
      </c>
      <c r="B124" s="31" t="s">
        <v>20</v>
      </c>
      <c r="C124" s="33">
        <f>SUM(C125:C126)</f>
        <v>344000</v>
      </c>
      <c r="D124" s="33">
        <f t="shared" ref="D124:K124" si="37">SUM(D125:D126)</f>
        <v>344000</v>
      </c>
      <c r="E124" s="33">
        <f t="shared" si="37"/>
        <v>450221.72</v>
      </c>
      <c r="F124" s="33">
        <f t="shared" si="37"/>
        <v>344000</v>
      </c>
      <c r="G124" s="33">
        <f t="shared" si="37"/>
        <v>344000</v>
      </c>
      <c r="H124" s="33">
        <f t="shared" si="37"/>
        <v>494000</v>
      </c>
      <c r="I124" s="33">
        <f t="shared" si="37"/>
        <v>150000</v>
      </c>
      <c r="J124" s="33">
        <f t="shared" si="37"/>
        <v>494000</v>
      </c>
      <c r="K124" s="33">
        <f t="shared" si="37"/>
        <v>494000</v>
      </c>
    </row>
    <row r="125" spans="1:11" s="8" customFormat="1">
      <c r="A125" s="27" t="s">
        <v>21</v>
      </c>
      <c r="B125" s="27" t="s">
        <v>22</v>
      </c>
      <c r="C125" s="28">
        <v>344000</v>
      </c>
      <c r="D125" s="28">
        <v>344000</v>
      </c>
      <c r="E125" s="29">
        <v>305291.71999999997</v>
      </c>
      <c r="F125" s="28">
        <v>344000</v>
      </c>
      <c r="G125" s="28">
        <v>344000</v>
      </c>
      <c r="H125" s="28">
        <v>344000</v>
      </c>
      <c r="I125" s="28">
        <f t="shared" si="23"/>
        <v>0</v>
      </c>
      <c r="J125" s="28">
        <v>344000</v>
      </c>
      <c r="K125" s="28">
        <v>344000</v>
      </c>
    </row>
    <row r="126" spans="1:11" s="8" customFormat="1">
      <c r="A126" s="27" t="s">
        <v>23</v>
      </c>
      <c r="B126" s="27" t="s">
        <v>24</v>
      </c>
      <c r="C126" s="28"/>
      <c r="D126" s="28"/>
      <c r="E126" s="29">
        <v>144930</v>
      </c>
      <c r="F126" s="28"/>
      <c r="G126" s="28"/>
      <c r="H126" s="28">
        <v>150000</v>
      </c>
      <c r="I126" s="28">
        <f t="shared" si="23"/>
        <v>150000</v>
      </c>
      <c r="J126" s="28">
        <v>150000</v>
      </c>
      <c r="K126" s="28">
        <v>150000</v>
      </c>
    </row>
    <row r="127" spans="1:11" s="8" customFormat="1">
      <c r="A127" s="30" t="s">
        <v>116</v>
      </c>
      <c r="B127" s="31" t="s">
        <v>117</v>
      </c>
      <c r="C127" s="33">
        <f>SUM(C128:C133)</f>
        <v>5072000</v>
      </c>
      <c r="D127" s="33">
        <f t="shared" ref="D127:K127" si="38">SUM(D128:D133)</f>
        <v>5072000</v>
      </c>
      <c r="E127" s="33">
        <f t="shared" si="38"/>
        <v>749534.64999999991</v>
      </c>
      <c r="F127" s="33">
        <f t="shared" si="38"/>
        <v>5072000</v>
      </c>
      <c r="G127" s="33">
        <f t="shared" si="38"/>
        <v>5072000</v>
      </c>
      <c r="H127" s="33">
        <f t="shared" si="38"/>
        <v>5087000</v>
      </c>
      <c r="I127" s="33">
        <f t="shared" si="38"/>
        <v>15000</v>
      </c>
      <c r="J127" s="33">
        <f t="shared" si="38"/>
        <v>5087000</v>
      </c>
      <c r="K127" s="33">
        <f t="shared" si="38"/>
        <v>5087000</v>
      </c>
    </row>
    <row r="128" spans="1:11" s="8" customFormat="1">
      <c r="A128" s="27" t="s">
        <v>118</v>
      </c>
      <c r="B128" s="27" t="s">
        <v>119</v>
      </c>
      <c r="C128" s="28">
        <v>14000</v>
      </c>
      <c r="D128" s="28">
        <v>14000</v>
      </c>
      <c r="E128" s="28"/>
      <c r="F128" s="28">
        <v>14000</v>
      </c>
      <c r="G128" s="28">
        <v>14000</v>
      </c>
      <c r="H128" s="28">
        <v>14000</v>
      </c>
      <c r="I128" s="28">
        <f t="shared" si="23"/>
        <v>0</v>
      </c>
      <c r="J128" s="28">
        <v>14000</v>
      </c>
      <c r="K128" s="28">
        <v>14000</v>
      </c>
    </row>
    <row r="129" spans="1:11" s="8" customFormat="1">
      <c r="A129" s="27" t="s">
        <v>120</v>
      </c>
      <c r="B129" s="27" t="s">
        <v>121</v>
      </c>
      <c r="C129" s="28">
        <v>42000</v>
      </c>
      <c r="D129" s="28">
        <v>42000</v>
      </c>
      <c r="E129" s="28"/>
      <c r="F129" s="28">
        <v>42000</v>
      </c>
      <c r="G129" s="28">
        <v>42000</v>
      </c>
      <c r="H129" s="28">
        <v>42000</v>
      </c>
      <c r="I129" s="28">
        <f t="shared" si="23"/>
        <v>0</v>
      </c>
      <c r="J129" s="28">
        <v>42000</v>
      </c>
      <c r="K129" s="28">
        <v>42000</v>
      </c>
    </row>
    <row r="130" spans="1:11" s="8" customFormat="1">
      <c r="A130" s="27" t="s">
        <v>122</v>
      </c>
      <c r="B130" s="27" t="s">
        <v>123</v>
      </c>
      <c r="C130" s="28">
        <v>2100000</v>
      </c>
      <c r="D130" s="28">
        <v>2100000</v>
      </c>
      <c r="E130" s="29">
        <v>8386.2000000000007</v>
      </c>
      <c r="F130" s="28">
        <v>2100000</v>
      </c>
      <c r="G130" s="28">
        <v>2100000</v>
      </c>
      <c r="H130" s="28">
        <v>2100000</v>
      </c>
      <c r="I130" s="28">
        <f t="shared" si="23"/>
        <v>0</v>
      </c>
      <c r="J130" s="28">
        <v>2100000</v>
      </c>
      <c r="K130" s="28">
        <v>2100000</v>
      </c>
    </row>
    <row r="131" spans="1:11" s="8" customFormat="1">
      <c r="A131" s="27" t="s">
        <v>186</v>
      </c>
      <c r="B131" s="27" t="s">
        <v>187</v>
      </c>
      <c r="C131" s="28">
        <v>60000</v>
      </c>
      <c r="D131" s="28">
        <v>60000</v>
      </c>
      <c r="E131" s="29">
        <v>73112.5</v>
      </c>
      <c r="F131" s="28">
        <v>60000</v>
      </c>
      <c r="G131" s="28">
        <v>60000</v>
      </c>
      <c r="H131" s="28">
        <v>75000</v>
      </c>
      <c r="I131" s="28">
        <f t="shared" si="23"/>
        <v>15000</v>
      </c>
      <c r="J131" s="28">
        <v>75000</v>
      </c>
      <c r="K131" s="28">
        <v>75000</v>
      </c>
    </row>
    <row r="132" spans="1:11" s="8" customFormat="1">
      <c r="A132" s="27" t="s">
        <v>160</v>
      </c>
      <c r="B132" s="27" t="s">
        <v>161</v>
      </c>
      <c r="C132" s="28">
        <v>2529000</v>
      </c>
      <c r="D132" s="28">
        <v>2529000</v>
      </c>
      <c r="E132" s="29">
        <v>540435.94999999995</v>
      </c>
      <c r="F132" s="28">
        <v>2529000</v>
      </c>
      <c r="G132" s="28">
        <v>2529000</v>
      </c>
      <c r="H132" s="28">
        <v>2529000</v>
      </c>
      <c r="I132" s="28">
        <f t="shared" si="23"/>
        <v>0</v>
      </c>
      <c r="J132" s="28">
        <v>2529000</v>
      </c>
      <c r="K132" s="28">
        <v>2529000</v>
      </c>
    </row>
    <row r="133" spans="1:11" s="8" customFormat="1">
      <c r="A133" s="27" t="s">
        <v>188</v>
      </c>
      <c r="B133" s="27" t="s">
        <v>189</v>
      </c>
      <c r="C133" s="28">
        <v>327000</v>
      </c>
      <c r="D133" s="28">
        <v>327000</v>
      </c>
      <c r="E133" s="29">
        <v>127600</v>
      </c>
      <c r="F133" s="28">
        <v>327000</v>
      </c>
      <c r="G133" s="28">
        <v>327000</v>
      </c>
      <c r="H133" s="28">
        <v>327000</v>
      </c>
      <c r="I133" s="28">
        <f t="shared" si="23"/>
        <v>0</v>
      </c>
      <c r="J133" s="28">
        <v>327000</v>
      </c>
      <c r="K133" s="28">
        <v>327000</v>
      </c>
    </row>
    <row r="134" spans="1:11" s="12" customFormat="1">
      <c r="A134" s="89" t="s">
        <v>190</v>
      </c>
      <c r="B134" s="90" t="s">
        <v>191</v>
      </c>
      <c r="C134" s="11">
        <f>SUM(C135,C146)</f>
        <v>220000</v>
      </c>
      <c r="D134" s="11">
        <f t="shared" ref="D134:K134" si="39">SUM(D135,D146)</f>
        <v>220000</v>
      </c>
      <c r="E134" s="11">
        <f t="shared" si="39"/>
        <v>35654.42</v>
      </c>
      <c r="F134" s="11">
        <f t="shared" si="39"/>
        <v>149000</v>
      </c>
      <c r="G134" s="11">
        <f t="shared" si="39"/>
        <v>149000</v>
      </c>
      <c r="H134" s="11">
        <f t="shared" si="39"/>
        <v>182000</v>
      </c>
      <c r="I134" s="11">
        <f t="shared" si="39"/>
        <v>-43000</v>
      </c>
      <c r="J134" s="11">
        <f t="shared" si="39"/>
        <v>182000</v>
      </c>
      <c r="K134" s="11">
        <f t="shared" si="39"/>
        <v>182000</v>
      </c>
    </row>
    <row r="135" spans="1:11" s="8" customFormat="1">
      <c r="A135" s="67" t="s">
        <v>307</v>
      </c>
      <c r="B135" s="68" t="s">
        <v>313</v>
      </c>
      <c r="C135" s="69">
        <f>SUM(C136,C138)</f>
        <v>25000</v>
      </c>
      <c r="D135" s="69">
        <f t="shared" ref="D135:K135" si="40">SUM(D136,D138)</f>
        <v>25000</v>
      </c>
      <c r="E135" s="69">
        <f t="shared" si="40"/>
        <v>540</v>
      </c>
      <c r="F135" s="69">
        <f t="shared" si="40"/>
        <v>25000</v>
      </c>
      <c r="G135" s="69">
        <f t="shared" si="40"/>
        <v>25000</v>
      </c>
      <c r="H135" s="69">
        <f t="shared" si="40"/>
        <v>63000</v>
      </c>
      <c r="I135" s="69">
        <f t="shared" si="40"/>
        <v>33000</v>
      </c>
      <c r="J135" s="69">
        <f t="shared" si="40"/>
        <v>63000</v>
      </c>
      <c r="K135" s="69">
        <f t="shared" si="40"/>
        <v>63000</v>
      </c>
    </row>
    <row r="136" spans="1:11" s="8" customFormat="1">
      <c r="A136" s="30" t="s">
        <v>27</v>
      </c>
      <c r="B136" s="31" t="s">
        <v>28</v>
      </c>
      <c r="C136" s="33">
        <f>SUM(C137)</f>
        <v>10000</v>
      </c>
      <c r="D136" s="33">
        <f t="shared" ref="D136:K136" si="41">SUM(D137)</f>
        <v>10000</v>
      </c>
      <c r="E136" s="33">
        <f t="shared" si="41"/>
        <v>0</v>
      </c>
      <c r="F136" s="33">
        <f t="shared" si="41"/>
        <v>10000</v>
      </c>
      <c r="G136" s="33">
        <f t="shared" si="41"/>
        <v>10000</v>
      </c>
      <c r="H136" s="33">
        <f t="shared" si="41"/>
        <v>20000</v>
      </c>
      <c r="I136" s="33">
        <f t="shared" si="41"/>
        <v>10000</v>
      </c>
      <c r="J136" s="33">
        <f t="shared" si="41"/>
        <v>20000</v>
      </c>
      <c r="K136" s="33">
        <f t="shared" si="41"/>
        <v>20000</v>
      </c>
    </row>
    <row r="137" spans="1:11" s="8" customFormat="1">
      <c r="A137" s="27" t="s">
        <v>29</v>
      </c>
      <c r="B137" s="27" t="s">
        <v>30</v>
      </c>
      <c r="C137" s="28">
        <v>10000</v>
      </c>
      <c r="D137" s="28">
        <v>10000</v>
      </c>
      <c r="E137" s="28"/>
      <c r="F137" s="28">
        <v>10000</v>
      </c>
      <c r="G137" s="28">
        <v>10000</v>
      </c>
      <c r="H137" s="28">
        <f>10000+10000</f>
        <v>20000</v>
      </c>
      <c r="I137" s="28">
        <f t="shared" si="23"/>
        <v>10000</v>
      </c>
      <c r="J137" s="28">
        <f>10000+10000</f>
        <v>20000</v>
      </c>
      <c r="K137" s="28">
        <f>10000+10000</f>
        <v>20000</v>
      </c>
    </row>
    <row r="138" spans="1:11" s="8" customFormat="1">
      <c r="A138" s="30" t="s">
        <v>39</v>
      </c>
      <c r="B138" s="31" t="s">
        <v>40</v>
      </c>
      <c r="C138" s="33">
        <f>SUM(C139:C145)</f>
        <v>15000</v>
      </c>
      <c r="D138" s="33">
        <f t="shared" ref="D138:K138" si="42">SUM(D139:D145)</f>
        <v>15000</v>
      </c>
      <c r="E138" s="33">
        <f t="shared" si="42"/>
        <v>540</v>
      </c>
      <c r="F138" s="33">
        <f t="shared" si="42"/>
        <v>15000</v>
      </c>
      <c r="G138" s="33">
        <f t="shared" si="42"/>
        <v>15000</v>
      </c>
      <c r="H138" s="33">
        <f t="shared" si="42"/>
        <v>43000</v>
      </c>
      <c r="I138" s="33">
        <f t="shared" si="42"/>
        <v>23000</v>
      </c>
      <c r="J138" s="33">
        <f t="shared" si="42"/>
        <v>43000</v>
      </c>
      <c r="K138" s="33">
        <f t="shared" si="42"/>
        <v>43000</v>
      </c>
    </row>
    <row r="139" spans="1:11" s="8" customFormat="1">
      <c r="A139" s="27" t="s">
        <v>41</v>
      </c>
      <c r="B139" s="27" t="s">
        <v>42</v>
      </c>
      <c r="C139" s="28">
        <v>7000</v>
      </c>
      <c r="D139" s="28">
        <v>7000</v>
      </c>
      <c r="E139" s="29">
        <v>540</v>
      </c>
      <c r="F139" s="28">
        <v>7000</v>
      </c>
      <c r="G139" s="28">
        <v>7000</v>
      </c>
      <c r="H139" s="28">
        <f>7000+13000</f>
        <v>20000</v>
      </c>
      <c r="I139" s="28">
        <f t="shared" si="23"/>
        <v>13000</v>
      </c>
      <c r="J139" s="28">
        <f>7000+13000</f>
        <v>20000</v>
      </c>
      <c r="K139" s="28">
        <f>7000+13000</f>
        <v>20000</v>
      </c>
    </row>
    <row r="140" spans="1:11" s="8" customFormat="1">
      <c r="A140" s="27" t="s">
        <v>45</v>
      </c>
      <c r="B140" s="27" t="s">
        <v>46</v>
      </c>
      <c r="C140" s="28"/>
      <c r="D140" s="28"/>
      <c r="E140" s="29"/>
      <c r="F140" s="28"/>
      <c r="G140" s="28"/>
      <c r="H140" s="28">
        <v>5000</v>
      </c>
      <c r="I140" s="28"/>
      <c r="J140" s="28">
        <v>5000</v>
      </c>
      <c r="K140" s="28">
        <v>5000</v>
      </c>
    </row>
    <row r="141" spans="1:11" s="8" customFormat="1">
      <c r="A141" s="27" t="s">
        <v>49</v>
      </c>
      <c r="B141" s="27" t="s">
        <v>50</v>
      </c>
      <c r="C141" s="28">
        <v>2000</v>
      </c>
      <c r="D141" s="28">
        <v>2000</v>
      </c>
      <c r="E141" s="28"/>
      <c r="F141" s="28">
        <v>2000</v>
      </c>
      <c r="G141" s="28">
        <v>2000</v>
      </c>
      <c r="H141" s="28">
        <v>2000</v>
      </c>
      <c r="I141" s="28">
        <f t="shared" si="23"/>
        <v>0</v>
      </c>
      <c r="J141" s="28">
        <v>2000</v>
      </c>
      <c r="K141" s="28">
        <v>2000</v>
      </c>
    </row>
    <row r="142" spans="1:11" s="8" customFormat="1">
      <c r="A142" s="27" t="s">
        <v>53</v>
      </c>
      <c r="B142" s="27" t="s">
        <v>54</v>
      </c>
      <c r="C142" s="28">
        <v>2000</v>
      </c>
      <c r="D142" s="28">
        <v>2000</v>
      </c>
      <c r="E142" s="28"/>
      <c r="F142" s="28">
        <v>2000</v>
      </c>
      <c r="G142" s="28">
        <v>2000</v>
      </c>
      <c r="H142" s="28">
        <v>2000</v>
      </c>
      <c r="I142" s="28">
        <f t="shared" si="23"/>
        <v>0</v>
      </c>
      <c r="J142" s="28">
        <v>2000</v>
      </c>
      <c r="K142" s="28">
        <v>2000</v>
      </c>
    </row>
    <row r="143" spans="1:11" s="8" customFormat="1">
      <c r="A143" s="27" t="s">
        <v>65</v>
      </c>
      <c r="B143" s="27" t="s">
        <v>66</v>
      </c>
      <c r="C143" s="28">
        <v>3000</v>
      </c>
      <c r="D143" s="28">
        <v>3000</v>
      </c>
      <c r="E143" s="28"/>
      <c r="F143" s="28">
        <v>3000</v>
      </c>
      <c r="G143" s="28">
        <v>3000</v>
      </c>
      <c r="H143" s="28">
        <v>3000</v>
      </c>
      <c r="I143" s="28">
        <f t="shared" si="23"/>
        <v>0</v>
      </c>
      <c r="J143" s="28">
        <v>3000</v>
      </c>
      <c r="K143" s="28">
        <v>3000</v>
      </c>
    </row>
    <row r="144" spans="1:11" s="8" customFormat="1">
      <c r="A144" s="27" t="s">
        <v>82</v>
      </c>
      <c r="B144" s="27" t="s">
        <v>83</v>
      </c>
      <c r="C144" s="28">
        <v>1000</v>
      </c>
      <c r="D144" s="28">
        <v>1000</v>
      </c>
      <c r="E144" s="28"/>
      <c r="F144" s="28">
        <v>1000</v>
      </c>
      <c r="G144" s="28">
        <v>1000</v>
      </c>
      <c r="H144" s="28">
        <v>1000</v>
      </c>
      <c r="I144" s="28">
        <f t="shared" si="23"/>
        <v>0</v>
      </c>
      <c r="J144" s="28">
        <v>1000</v>
      </c>
      <c r="K144" s="28">
        <v>1000</v>
      </c>
    </row>
    <row r="145" spans="1:11" s="8" customFormat="1">
      <c r="A145" s="27" t="s">
        <v>78</v>
      </c>
      <c r="B145" s="27" t="s">
        <v>77</v>
      </c>
      <c r="C145" s="28"/>
      <c r="D145" s="28"/>
      <c r="E145" s="28"/>
      <c r="F145" s="28"/>
      <c r="G145" s="28"/>
      <c r="H145" s="28">
        <v>10000</v>
      </c>
      <c r="I145" s="28">
        <f t="shared" si="23"/>
        <v>10000</v>
      </c>
      <c r="J145" s="28">
        <v>10000</v>
      </c>
      <c r="K145" s="28">
        <v>10000</v>
      </c>
    </row>
    <row r="146" spans="1:11" s="8" customFormat="1">
      <c r="A146" s="61" t="s">
        <v>126</v>
      </c>
      <c r="B146" s="62" t="s">
        <v>127</v>
      </c>
      <c r="C146" s="63">
        <f t="shared" ref="C146:K146" si="43">SUM(C147,C149,C168,C172)</f>
        <v>195000</v>
      </c>
      <c r="D146" s="63">
        <f t="shared" si="43"/>
        <v>195000</v>
      </c>
      <c r="E146" s="63">
        <f t="shared" si="43"/>
        <v>35114.42</v>
      </c>
      <c r="F146" s="63">
        <f t="shared" si="43"/>
        <v>124000</v>
      </c>
      <c r="G146" s="63">
        <f t="shared" si="43"/>
        <v>124000</v>
      </c>
      <c r="H146" s="63">
        <f t="shared" si="43"/>
        <v>119000</v>
      </c>
      <c r="I146" s="63">
        <f t="shared" si="43"/>
        <v>-76000</v>
      </c>
      <c r="J146" s="63">
        <f t="shared" si="43"/>
        <v>119000</v>
      </c>
      <c r="K146" s="63">
        <f t="shared" si="43"/>
        <v>119000</v>
      </c>
    </row>
    <row r="147" spans="1:11" s="8" customFormat="1">
      <c r="A147" s="30" t="s">
        <v>27</v>
      </c>
      <c r="B147" s="31" t="s">
        <v>28</v>
      </c>
      <c r="C147" s="33">
        <f>SUM(C148)</f>
        <v>5000</v>
      </c>
      <c r="D147" s="33">
        <f t="shared" ref="D147:K147" si="44">SUM(D148)</f>
        <v>5000</v>
      </c>
      <c r="E147" s="33">
        <f t="shared" si="44"/>
        <v>0</v>
      </c>
      <c r="F147" s="33">
        <f t="shared" si="44"/>
        <v>5000</v>
      </c>
      <c r="G147" s="33">
        <f t="shared" si="44"/>
        <v>5000</v>
      </c>
      <c r="H147" s="33">
        <f t="shared" si="44"/>
        <v>0</v>
      </c>
      <c r="I147" s="33">
        <f t="shared" si="44"/>
        <v>-5000</v>
      </c>
      <c r="J147" s="33">
        <f t="shared" si="44"/>
        <v>0</v>
      </c>
      <c r="K147" s="33">
        <f t="shared" si="44"/>
        <v>0</v>
      </c>
    </row>
    <row r="148" spans="1:11" s="8" customFormat="1">
      <c r="A148" s="27" t="s">
        <v>29</v>
      </c>
      <c r="B148" s="27" t="s">
        <v>30</v>
      </c>
      <c r="C148" s="28">
        <v>5000</v>
      </c>
      <c r="D148" s="28">
        <v>5000</v>
      </c>
      <c r="E148" s="28"/>
      <c r="F148" s="28">
        <v>5000</v>
      </c>
      <c r="G148" s="28">
        <v>5000</v>
      </c>
      <c r="H148" s="28"/>
      <c r="I148" s="28">
        <f t="shared" ref="I148:I211" si="45">H148-D148</f>
        <v>-5000</v>
      </c>
      <c r="J148" s="28"/>
      <c r="K148" s="28"/>
    </row>
    <row r="149" spans="1:11" s="8" customFormat="1">
      <c r="A149" s="30" t="s">
        <v>39</v>
      </c>
      <c r="B149" s="31" t="s">
        <v>40</v>
      </c>
      <c r="C149" s="33">
        <f>SUM(C150:C167)</f>
        <v>99000</v>
      </c>
      <c r="D149" s="33">
        <f t="shared" ref="D149:K149" si="46">SUM(D150:D167)</f>
        <v>99000</v>
      </c>
      <c r="E149" s="33">
        <f t="shared" si="46"/>
        <v>15776.789999999999</v>
      </c>
      <c r="F149" s="33">
        <f t="shared" si="46"/>
        <v>99000</v>
      </c>
      <c r="G149" s="33">
        <f t="shared" si="46"/>
        <v>99000</v>
      </c>
      <c r="H149" s="33">
        <f t="shared" si="46"/>
        <v>52000</v>
      </c>
      <c r="I149" s="33">
        <f t="shared" si="46"/>
        <v>-47000</v>
      </c>
      <c r="J149" s="33">
        <f t="shared" si="46"/>
        <v>52000</v>
      </c>
      <c r="K149" s="33">
        <f t="shared" si="46"/>
        <v>52000</v>
      </c>
    </row>
    <row r="150" spans="1:11" s="8" customFormat="1">
      <c r="A150" s="27" t="s">
        <v>41</v>
      </c>
      <c r="B150" s="27" t="s">
        <v>42</v>
      </c>
      <c r="C150" s="28">
        <v>20000</v>
      </c>
      <c r="D150" s="28">
        <v>20000</v>
      </c>
      <c r="E150" s="29">
        <v>5969.8</v>
      </c>
      <c r="F150" s="28">
        <v>20000</v>
      </c>
      <c r="G150" s="28">
        <v>20000</v>
      </c>
      <c r="H150" s="28"/>
      <c r="I150" s="28">
        <f t="shared" si="45"/>
        <v>-20000</v>
      </c>
      <c r="J150" s="28"/>
      <c r="K150" s="28"/>
    </row>
    <row r="151" spans="1:11" s="8" customFormat="1">
      <c r="A151" s="27" t="s">
        <v>45</v>
      </c>
      <c r="B151" s="27" t="s">
        <v>46</v>
      </c>
      <c r="C151" s="28">
        <v>5000</v>
      </c>
      <c r="D151" s="28">
        <v>5000</v>
      </c>
      <c r="E151" s="29">
        <v>2973</v>
      </c>
      <c r="F151" s="28">
        <v>5000</v>
      </c>
      <c r="G151" s="28">
        <v>5000</v>
      </c>
      <c r="H151" s="28"/>
      <c r="I151" s="28">
        <f t="shared" si="45"/>
        <v>-5000</v>
      </c>
      <c r="J151" s="28"/>
      <c r="K151" s="28"/>
    </row>
    <row r="152" spans="1:11" s="8" customFormat="1">
      <c r="A152" s="27" t="s">
        <v>49</v>
      </c>
      <c r="B152" s="27" t="s">
        <v>50</v>
      </c>
      <c r="C152" s="28">
        <v>1000</v>
      </c>
      <c r="D152" s="28">
        <v>1000</v>
      </c>
      <c r="E152" s="28"/>
      <c r="F152" s="28">
        <v>1000</v>
      </c>
      <c r="G152" s="28">
        <v>1000</v>
      </c>
      <c r="H152" s="28"/>
      <c r="I152" s="28">
        <f t="shared" si="45"/>
        <v>-1000</v>
      </c>
      <c r="J152" s="28"/>
      <c r="K152" s="28"/>
    </row>
    <row r="153" spans="1:11" s="8" customFormat="1">
      <c r="A153" s="27" t="s">
        <v>51</v>
      </c>
      <c r="B153" s="27" t="s">
        <v>52</v>
      </c>
      <c r="C153" s="28">
        <v>2000</v>
      </c>
      <c r="D153" s="28">
        <v>2000</v>
      </c>
      <c r="E153" s="28"/>
      <c r="F153" s="28">
        <v>2000</v>
      </c>
      <c r="G153" s="28">
        <v>2000</v>
      </c>
      <c r="H153" s="28"/>
      <c r="I153" s="28">
        <f t="shared" si="45"/>
        <v>-2000</v>
      </c>
      <c r="J153" s="28"/>
      <c r="K153" s="28"/>
    </row>
    <row r="154" spans="1:11" s="8" customFormat="1">
      <c r="A154" s="27">
        <v>3223</v>
      </c>
      <c r="B154" s="27" t="s">
        <v>54</v>
      </c>
      <c r="C154" s="28"/>
      <c r="D154" s="28"/>
      <c r="E154" s="28"/>
      <c r="F154" s="28"/>
      <c r="G154" s="28"/>
      <c r="H154" s="28"/>
      <c r="I154" s="28">
        <f t="shared" si="45"/>
        <v>0</v>
      </c>
      <c r="J154" s="28"/>
      <c r="K154" s="28"/>
    </row>
    <row r="155" spans="1:11" s="8" customFormat="1">
      <c r="A155" s="27" t="s">
        <v>55</v>
      </c>
      <c r="B155" s="27" t="s">
        <v>56</v>
      </c>
      <c r="C155" s="28">
        <v>1000</v>
      </c>
      <c r="D155" s="28">
        <v>1000</v>
      </c>
      <c r="E155" s="28"/>
      <c r="F155" s="28">
        <v>1000</v>
      </c>
      <c r="G155" s="28">
        <v>1000</v>
      </c>
      <c r="H155" s="28"/>
      <c r="I155" s="28">
        <f t="shared" si="45"/>
        <v>-1000</v>
      </c>
      <c r="J155" s="28"/>
      <c r="K155" s="28"/>
    </row>
    <row r="156" spans="1:11" s="8" customFormat="1">
      <c r="A156" s="27" t="s">
        <v>57</v>
      </c>
      <c r="B156" s="27" t="s">
        <v>58</v>
      </c>
      <c r="C156" s="28">
        <v>2000</v>
      </c>
      <c r="D156" s="28">
        <v>2000</v>
      </c>
      <c r="E156" s="28"/>
      <c r="F156" s="28">
        <v>2000</v>
      </c>
      <c r="G156" s="28">
        <v>2000</v>
      </c>
      <c r="H156" s="28"/>
      <c r="I156" s="28">
        <f t="shared" si="45"/>
        <v>-2000</v>
      </c>
      <c r="J156" s="28"/>
      <c r="K156" s="28"/>
    </row>
    <row r="157" spans="1:11" s="8" customFormat="1">
      <c r="A157" s="27" t="s">
        <v>61</v>
      </c>
      <c r="B157" s="27" t="s">
        <v>62</v>
      </c>
      <c r="C157" s="28">
        <v>1000</v>
      </c>
      <c r="D157" s="28">
        <v>1000</v>
      </c>
      <c r="E157" s="28"/>
      <c r="F157" s="28">
        <v>1000</v>
      </c>
      <c r="G157" s="28">
        <v>1000</v>
      </c>
      <c r="H157" s="28"/>
      <c r="I157" s="28">
        <f t="shared" si="45"/>
        <v>-1000</v>
      </c>
      <c r="J157" s="28"/>
      <c r="K157" s="28"/>
    </row>
    <row r="158" spans="1:11" s="8" customFormat="1">
      <c r="A158" s="27" t="s">
        <v>63</v>
      </c>
      <c r="B158" s="27" t="s">
        <v>64</v>
      </c>
      <c r="C158" s="28">
        <v>30000</v>
      </c>
      <c r="D158" s="28">
        <v>30000</v>
      </c>
      <c r="E158" s="28"/>
      <c r="F158" s="28">
        <v>30000</v>
      </c>
      <c r="G158" s="28">
        <v>30000</v>
      </c>
      <c r="H158" s="28">
        <v>30000</v>
      </c>
      <c r="I158" s="28">
        <f t="shared" si="45"/>
        <v>0</v>
      </c>
      <c r="J158" s="28">
        <v>30000</v>
      </c>
      <c r="K158" s="28">
        <v>30000</v>
      </c>
    </row>
    <row r="159" spans="1:11" s="8" customFormat="1">
      <c r="A159" s="27" t="s">
        <v>65</v>
      </c>
      <c r="B159" s="27" t="s">
        <v>66</v>
      </c>
      <c r="C159" s="28">
        <v>7000</v>
      </c>
      <c r="D159" s="28">
        <v>7000</v>
      </c>
      <c r="E159" s="28"/>
      <c r="F159" s="28">
        <v>7000</v>
      </c>
      <c r="G159" s="28">
        <v>7000</v>
      </c>
      <c r="H159" s="28">
        <v>10000</v>
      </c>
      <c r="I159" s="28">
        <f t="shared" si="45"/>
        <v>3000</v>
      </c>
      <c r="J159" s="28">
        <v>10000</v>
      </c>
      <c r="K159" s="28">
        <v>10000</v>
      </c>
    </row>
    <row r="160" spans="1:11" s="8" customFormat="1">
      <c r="A160" s="27" t="s">
        <v>69</v>
      </c>
      <c r="B160" s="27" t="s">
        <v>70</v>
      </c>
      <c r="C160" s="28">
        <v>1000</v>
      </c>
      <c r="D160" s="28">
        <v>1000</v>
      </c>
      <c r="E160" s="28"/>
      <c r="F160" s="28">
        <v>1000</v>
      </c>
      <c r="G160" s="28">
        <v>1000</v>
      </c>
      <c r="H160" s="28"/>
      <c r="I160" s="28">
        <f t="shared" si="45"/>
        <v>-1000</v>
      </c>
      <c r="J160" s="28"/>
      <c r="K160" s="28"/>
    </row>
    <row r="161" spans="1:11" s="8" customFormat="1">
      <c r="A161" s="27" t="s">
        <v>71</v>
      </c>
      <c r="B161" s="27" t="s">
        <v>72</v>
      </c>
      <c r="C161" s="28">
        <v>1000</v>
      </c>
      <c r="D161" s="28">
        <v>1000</v>
      </c>
      <c r="E161" s="28"/>
      <c r="F161" s="28">
        <v>1000</v>
      </c>
      <c r="G161" s="28">
        <v>1000</v>
      </c>
      <c r="H161" s="28"/>
      <c r="I161" s="28">
        <f t="shared" si="45"/>
        <v>-1000</v>
      </c>
      <c r="J161" s="28"/>
      <c r="K161" s="28"/>
    </row>
    <row r="162" spans="1:11" s="8" customFormat="1">
      <c r="A162" s="27" t="s">
        <v>73</v>
      </c>
      <c r="B162" s="27" t="s">
        <v>74</v>
      </c>
      <c r="C162" s="28">
        <v>5000</v>
      </c>
      <c r="D162" s="28">
        <v>5000</v>
      </c>
      <c r="E162" s="28"/>
      <c r="F162" s="28">
        <v>5000</v>
      </c>
      <c r="G162" s="28">
        <v>5000</v>
      </c>
      <c r="H162" s="28"/>
      <c r="I162" s="28">
        <f t="shared" si="45"/>
        <v>-5000</v>
      </c>
      <c r="J162" s="28"/>
      <c r="K162" s="28"/>
    </row>
    <row r="163" spans="1:11" s="8" customFormat="1">
      <c r="A163" s="27" t="s">
        <v>75</v>
      </c>
      <c r="B163" s="27" t="s">
        <v>76</v>
      </c>
      <c r="C163" s="28">
        <v>14000</v>
      </c>
      <c r="D163" s="28">
        <v>14000</v>
      </c>
      <c r="E163" s="28"/>
      <c r="F163" s="28">
        <v>14000</v>
      </c>
      <c r="G163" s="28">
        <v>14000</v>
      </c>
      <c r="H163" s="28">
        <v>5000</v>
      </c>
      <c r="I163" s="28">
        <f t="shared" si="45"/>
        <v>-9000</v>
      </c>
      <c r="J163" s="28">
        <v>5000</v>
      </c>
      <c r="K163" s="28">
        <v>5000</v>
      </c>
    </row>
    <row r="164" spans="1:11" s="8" customFormat="1">
      <c r="A164" s="27" t="s">
        <v>78</v>
      </c>
      <c r="B164" s="27" t="s">
        <v>77</v>
      </c>
      <c r="C164" s="28"/>
      <c r="D164" s="28"/>
      <c r="E164" s="29">
        <v>6723</v>
      </c>
      <c r="F164" s="28"/>
      <c r="G164" s="28"/>
      <c r="H164" s="28"/>
      <c r="I164" s="28">
        <f t="shared" si="45"/>
        <v>0</v>
      </c>
      <c r="J164" s="28"/>
      <c r="K164" s="28"/>
    </row>
    <row r="165" spans="1:11" s="8" customFormat="1">
      <c r="A165" s="27" t="s">
        <v>82</v>
      </c>
      <c r="B165" s="27" t="s">
        <v>83</v>
      </c>
      <c r="C165" s="28">
        <v>1000</v>
      </c>
      <c r="D165" s="28">
        <v>1000</v>
      </c>
      <c r="E165" s="29">
        <v>110.99</v>
      </c>
      <c r="F165" s="28">
        <v>1000</v>
      </c>
      <c r="G165" s="28">
        <v>1000</v>
      </c>
      <c r="H165" s="28"/>
      <c r="I165" s="28">
        <f t="shared" si="45"/>
        <v>-1000</v>
      </c>
      <c r="J165" s="28"/>
      <c r="K165" s="28"/>
    </row>
    <row r="166" spans="1:11" s="8" customFormat="1">
      <c r="A166" s="27" t="s">
        <v>84</v>
      </c>
      <c r="B166" s="27" t="s">
        <v>85</v>
      </c>
      <c r="C166" s="28">
        <v>1000</v>
      </c>
      <c r="D166" s="28">
        <v>1000</v>
      </c>
      <c r="E166" s="28"/>
      <c r="F166" s="28">
        <v>1000</v>
      </c>
      <c r="G166" s="28">
        <v>1000</v>
      </c>
      <c r="H166" s="28"/>
      <c r="I166" s="28">
        <f t="shared" si="45"/>
        <v>-1000</v>
      </c>
      <c r="J166" s="28"/>
      <c r="K166" s="28"/>
    </row>
    <row r="167" spans="1:11" s="8" customFormat="1">
      <c r="A167" s="27" t="s">
        <v>92</v>
      </c>
      <c r="B167" s="27" t="s">
        <v>79</v>
      </c>
      <c r="C167" s="28">
        <v>7000</v>
      </c>
      <c r="D167" s="28">
        <v>7000</v>
      </c>
      <c r="E167" s="28"/>
      <c r="F167" s="28">
        <v>7000</v>
      </c>
      <c r="G167" s="28">
        <v>7000</v>
      </c>
      <c r="H167" s="28">
        <v>7000</v>
      </c>
      <c r="I167" s="28">
        <f t="shared" si="45"/>
        <v>0</v>
      </c>
      <c r="J167" s="28">
        <v>7000</v>
      </c>
      <c r="K167" s="28">
        <v>7000</v>
      </c>
    </row>
    <row r="168" spans="1:11" s="8" customFormat="1">
      <c r="A168" s="30" t="s">
        <v>116</v>
      </c>
      <c r="B168" s="31" t="s">
        <v>117</v>
      </c>
      <c r="C168" s="33">
        <f>SUM(C169:C171)</f>
        <v>84000</v>
      </c>
      <c r="D168" s="33">
        <f t="shared" ref="D168:K168" si="47">SUM(D169:D171)</f>
        <v>84000</v>
      </c>
      <c r="E168" s="33">
        <f t="shared" si="47"/>
        <v>19337.63</v>
      </c>
      <c r="F168" s="33">
        <f t="shared" si="47"/>
        <v>13000</v>
      </c>
      <c r="G168" s="33">
        <f t="shared" si="47"/>
        <v>13000</v>
      </c>
      <c r="H168" s="33">
        <f t="shared" si="47"/>
        <v>60000</v>
      </c>
      <c r="I168" s="33">
        <f t="shared" si="47"/>
        <v>-24000</v>
      </c>
      <c r="J168" s="33">
        <f t="shared" si="47"/>
        <v>60000</v>
      </c>
      <c r="K168" s="33">
        <f t="shared" si="47"/>
        <v>60000</v>
      </c>
    </row>
    <row r="169" spans="1:11" s="8" customFormat="1">
      <c r="A169" s="27" t="s">
        <v>118</v>
      </c>
      <c r="B169" s="27" t="s">
        <v>119</v>
      </c>
      <c r="C169" s="28">
        <v>47000</v>
      </c>
      <c r="D169" s="28">
        <v>47000</v>
      </c>
      <c r="E169" s="29">
        <v>19337.63</v>
      </c>
      <c r="F169" s="28">
        <v>3000</v>
      </c>
      <c r="G169" s="28">
        <v>3000</v>
      </c>
      <c r="H169" s="28">
        <v>40000</v>
      </c>
      <c r="I169" s="28">
        <f t="shared" si="45"/>
        <v>-7000</v>
      </c>
      <c r="J169" s="28">
        <v>40000</v>
      </c>
      <c r="K169" s="28">
        <v>40000</v>
      </c>
    </row>
    <row r="170" spans="1:11" s="8" customFormat="1">
      <c r="A170" s="27" t="s">
        <v>122</v>
      </c>
      <c r="B170" s="27" t="s">
        <v>123</v>
      </c>
      <c r="C170" s="28">
        <v>10000</v>
      </c>
      <c r="D170" s="28">
        <v>10000</v>
      </c>
      <c r="E170" s="28"/>
      <c r="F170" s="28">
        <v>10000</v>
      </c>
      <c r="G170" s="28">
        <v>10000</v>
      </c>
      <c r="H170" s="28">
        <v>10000</v>
      </c>
      <c r="I170" s="28">
        <f t="shared" si="45"/>
        <v>0</v>
      </c>
      <c r="J170" s="28">
        <v>10000</v>
      </c>
      <c r="K170" s="28">
        <v>10000</v>
      </c>
    </row>
    <row r="171" spans="1:11" s="8" customFormat="1">
      <c r="A171" s="27" t="s">
        <v>124</v>
      </c>
      <c r="B171" s="27" t="s">
        <v>125</v>
      </c>
      <c r="C171" s="28">
        <v>27000</v>
      </c>
      <c r="D171" s="28">
        <v>27000</v>
      </c>
      <c r="E171" s="28"/>
      <c r="F171" s="28"/>
      <c r="G171" s="28"/>
      <c r="H171" s="28">
        <v>10000</v>
      </c>
      <c r="I171" s="28">
        <f t="shared" si="45"/>
        <v>-17000</v>
      </c>
      <c r="J171" s="28">
        <v>10000</v>
      </c>
      <c r="K171" s="28">
        <v>10000</v>
      </c>
    </row>
    <row r="172" spans="1:11" s="8" customFormat="1">
      <c r="A172" s="30" t="s">
        <v>134</v>
      </c>
      <c r="B172" s="31" t="s">
        <v>135</v>
      </c>
      <c r="C172" s="33">
        <f>SUM(C173)</f>
        <v>7000</v>
      </c>
      <c r="D172" s="33">
        <f t="shared" ref="D172:K172" si="48">SUM(D173)</f>
        <v>7000</v>
      </c>
      <c r="E172" s="33">
        <f t="shared" si="48"/>
        <v>0</v>
      </c>
      <c r="F172" s="33">
        <f t="shared" si="48"/>
        <v>7000</v>
      </c>
      <c r="G172" s="33">
        <f t="shared" si="48"/>
        <v>7000</v>
      </c>
      <c r="H172" s="33">
        <f t="shared" si="48"/>
        <v>7000</v>
      </c>
      <c r="I172" s="33">
        <f t="shared" si="48"/>
        <v>0</v>
      </c>
      <c r="J172" s="33">
        <f t="shared" si="48"/>
        <v>7000</v>
      </c>
      <c r="K172" s="33">
        <f t="shared" si="48"/>
        <v>7000</v>
      </c>
    </row>
    <row r="173" spans="1:11" s="8" customFormat="1">
      <c r="A173" s="27" t="s">
        <v>137</v>
      </c>
      <c r="B173" s="27" t="s">
        <v>136</v>
      </c>
      <c r="C173" s="28">
        <v>7000</v>
      </c>
      <c r="D173" s="28">
        <v>7000</v>
      </c>
      <c r="E173" s="28"/>
      <c r="F173" s="28">
        <v>7000</v>
      </c>
      <c r="G173" s="28">
        <v>7000</v>
      </c>
      <c r="H173" s="28">
        <v>7000</v>
      </c>
      <c r="I173" s="28">
        <f t="shared" si="45"/>
        <v>0</v>
      </c>
      <c r="J173" s="28">
        <v>7000</v>
      </c>
      <c r="K173" s="28">
        <v>7000</v>
      </c>
    </row>
    <row r="174" spans="1:11" s="19" customFormat="1" ht="21" customHeight="1">
      <c r="A174" s="91" t="s">
        <v>194</v>
      </c>
      <c r="B174" s="92" t="s">
        <v>195</v>
      </c>
      <c r="C174" s="15">
        <f>SUM(C175)</f>
        <v>19459900</v>
      </c>
      <c r="D174" s="15">
        <f t="shared" ref="D174:K176" si="49">SUM(D175)</f>
        <v>19459900</v>
      </c>
      <c r="E174" s="15">
        <f t="shared" si="49"/>
        <v>22983792.920000002</v>
      </c>
      <c r="F174" s="15">
        <f t="shared" si="49"/>
        <v>0</v>
      </c>
      <c r="G174" s="15">
        <f t="shared" si="49"/>
        <v>0</v>
      </c>
      <c r="H174" s="15">
        <f t="shared" si="49"/>
        <v>0</v>
      </c>
      <c r="I174" s="15">
        <f t="shared" si="49"/>
        <v>-19459900</v>
      </c>
      <c r="J174" s="15">
        <f t="shared" si="49"/>
        <v>0</v>
      </c>
      <c r="K174" s="15">
        <f t="shared" si="49"/>
        <v>0</v>
      </c>
    </row>
    <row r="175" spans="1:11" s="8" customFormat="1" ht="20.399999999999999">
      <c r="A175" s="83" t="s">
        <v>311</v>
      </c>
      <c r="B175" s="84" t="s">
        <v>312</v>
      </c>
      <c r="C175" s="85">
        <f>SUM(C176)</f>
        <v>19459900</v>
      </c>
      <c r="D175" s="85">
        <f t="shared" si="49"/>
        <v>19459900</v>
      </c>
      <c r="E175" s="85">
        <f t="shared" si="49"/>
        <v>22983792.920000002</v>
      </c>
      <c r="F175" s="85">
        <f t="shared" si="49"/>
        <v>0</v>
      </c>
      <c r="G175" s="85">
        <f t="shared" si="49"/>
        <v>0</v>
      </c>
      <c r="H175" s="85">
        <f t="shared" si="49"/>
        <v>0</v>
      </c>
      <c r="I175" s="85">
        <f t="shared" si="49"/>
        <v>-19459900</v>
      </c>
      <c r="J175" s="85">
        <f t="shared" si="49"/>
        <v>0</v>
      </c>
      <c r="K175" s="85">
        <f t="shared" si="49"/>
        <v>0</v>
      </c>
    </row>
    <row r="176" spans="1:11" s="8" customFormat="1">
      <c r="A176" s="30" t="s">
        <v>116</v>
      </c>
      <c r="B176" s="31" t="s">
        <v>117</v>
      </c>
      <c r="C176" s="33">
        <f>SUM(C177)</f>
        <v>19459900</v>
      </c>
      <c r="D176" s="33">
        <f t="shared" si="49"/>
        <v>19459900</v>
      </c>
      <c r="E176" s="33">
        <f t="shared" si="49"/>
        <v>22983792.920000002</v>
      </c>
      <c r="F176" s="33">
        <f t="shared" si="49"/>
        <v>0</v>
      </c>
      <c r="G176" s="33">
        <f t="shared" si="49"/>
        <v>0</v>
      </c>
      <c r="H176" s="33">
        <f t="shared" si="49"/>
        <v>0</v>
      </c>
      <c r="I176" s="33">
        <f t="shared" si="49"/>
        <v>-19459900</v>
      </c>
      <c r="J176" s="33">
        <f t="shared" si="49"/>
        <v>0</v>
      </c>
      <c r="K176" s="33">
        <f t="shared" si="49"/>
        <v>0</v>
      </c>
    </row>
    <row r="177" spans="1:11" s="8" customFormat="1">
      <c r="A177" s="27" t="s">
        <v>198</v>
      </c>
      <c r="B177" s="27" t="s">
        <v>199</v>
      </c>
      <c r="C177" s="28">
        <v>19459900</v>
      </c>
      <c r="D177" s="28">
        <v>19459900</v>
      </c>
      <c r="E177" s="29">
        <v>22983792.920000002</v>
      </c>
      <c r="F177" s="41">
        <v>0</v>
      </c>
      <c r="G177" s="28"/>
      <c r="H177" s="41"/>
      <c r="I177" s="28">
        <f t="shared" si="45"/>
        <v>-19459900</v>
      </c>
      <c r="J177" s="28"/>
      <c r="K177" s="28"/>
    </row>
    <row r="178" spans="1:11" s="12" customFormat="1" ht="20.399999999999999">
      <c r="A178" s="89" t="s">
        <v>200</v>
      </c>
      <c r="B178" s="90" t="s">
        <v>201</v>
      </c>
      <c r="C178" s="11">
        <f>SUM(C179)</f>
        <v>0</v>
      </c>
      <c r="D178" s="11">
        <f t="shared" ref="D178:K180" si="50">SUM(D179)</f>
        <v>0</v>
      </c>
      <c r="E178" s="11">
        <f t="shared" si="50"/>
        <v>0</v>
      </c>
      <c r="F178" s="11">
        <f t="shared" si="50"/>
        <v>12500000</v>
      </c>
      <c r="G178" s="11">
        <f t="shared" si="50"/>
        <v>12500000</v>
      </c>
      <c r="H178" s="11">
        <f t="shared" si="50"/>
        <v>0</v>
      </c>
      <c r="I178" s="11">
        <f t="shared" si="50"/>
        <v>0</v>
      </c>
      <c r="J178" s="11">
        <f t="shared" si="50"/>
        <v>0</v>
      </c>
      <c r="K178" s="11">
        <f t="shared" si="50"/>
        <v>0</v>
      </c>
    </row>
    <row r="179" spans="1:11" s="8" customFormat="1" ht="20.399999999999999">
      <c r="A179" s="67" t="s">
        <v>304</v>
      </c>
      <c r="B179" s="68" t="s">
        <v>305</v>
      </c>
      <c r="C179" s="122">
        <f>SUM(C180)</f>
        <v>0</v>
      </c>
      <c r="D179" s="123">
        <f t="shared" si="50"/>
        <v>0</v>
      </c>
      <c r="E179" s="122">
        <f t="shared" si="50"/>
        <v>0</v>
      </c>
      <c r="F179" s="124">
        <f t="shared" si="50"/>
        <v>12500000</v>
      </c>
      <c r="G179" s="124">
        <f t="shared" si="50"/>
        <v>12500000</v>
      </c>
      <c r="H179" s="124">
        <f t="shared" si="50"/>
        <v>0</v>
      </c>
      <c r="I179" s="124">
        <f t="shared" si="50"/>
        <v>0</v>
      </c>
      <c r="J179" s="124">
        <f t="shared" si="50"/>
        <v>0</v>
      </c>
      <c r="K179" s="124">
        <f t="shared" si="50"/>
        <v>0</v>
      </c>
    </row>
    <row r="180" spans="1:11" s="8" customFormat="1">
      <c r="A180" s="30" t="s">
        <v>116</v>
      </c>
      <c r="B180" s="31" t="s">
        <v>117</v>
      </c>
      <c r="C180" s="33">
        <f>SUM(C181)</f>
        <v>0</v>
      </c>
      <c r="D180" s="33">
        <f t="shared" si="50"/>
        <v>0</v>
      </c>
      <c r="E180" s="33">
        <f t="shared" si="50"/>
        <v>0</v>
      </c>
      <c r="F180" s="33">
        <f t="shared" si="50"/>
        <v>12500000</v>
      </c>
      <c r="G180" s="33">
        <f t="shared" si="50"/>
        <v>12500000</v>
      </c>
      <c r="H180" s="33">
        <f t="shared" si="50"/>
        <v>0</v>
      </c>
      <c r="I180" s="33">
        <f t="shared" si="50"/>
        <v>0</v>
      </c>
      <c r="J180" s="33">
        <f t="shared" si="50"/>
        <v>0</v>
      </c>
      <c r="K180" s="33">
        <f t="shared" si="50"/>
        <v>0</v>
      </c>
    </row>
    <row r="181" spans="1:11" s="8" customFormat="1">
      <c r="A181" s="27" t="s">
        <v>198</v>
      </c>
      <c r="B181" s="27" t="s">
        <v>199</v>
      </c>
      <c r="C181" s="28"/>
      <c r="D181" s="28"/>
      <c r="E181" s="28"/>
      <c r="F181" s="28">
        <v>12500000</v>
      </c>
      <c r="G181" s="28">
        <v>12500000</v>
      </c>
      <c r="H181" s="28"/>
      <c r="I181" s="28">
        <f t="shared" si="45"/>
        <v>0</v>
      </c>
      <c r="J181" s="28"/>
      <c r="K181" s="28"/>
    </row>
    <row r="182" spans="1:11" s="12" customFormat="1" ht="20.399999999999999">
      <c r="A182" s="89" t="s">
        <v>202</v>
      </c>
      <c r="B182" s="90" t="s">
        <v>203</v>
      </c>
      <c r="C182" s="11">
        <f>SUM(C183)</f>
        <v>2665000</v>
      </c>
      <c r="D182" s="11">
        <f t="shared" ref="D182:K182" si="51">SUM(D183)</f>
        <v>2665000</v>
      </c>
      <c r="E182" s="11">
        <f t="shared" si="51"/>
        <v>574711.81000000006</v>
      </c>
      <c r="F182" s="11">
        <f t="shared" si="51"/>
        <v>2729500</v>
      </c>
      <c r="G182" s="11">
        <f t="shared" si="51"/>
        <v>2811500</v>
      </c>
      <c r="H182" s="11">
        <f t="shared" si="51"/>
        <v>2730000</v>
      </c>
      <c r="I182" s="11">
        <f t="shared" si="51"/>
        <v>65000</v>
      </c>
      <c r="J182" s="11">
        <f t="shared" si="51"/>
        <v>2811000</v>
      </c>
      <c r="K182" s="11">
        <f t="shared" si="51"/>
        <v>2896000</v>
      </c>
    </row>
    <row r="183" spans="1:11" s="8" customFormat="1">
      <c r="A183" s="77" t="s">
        <v>108</v>
      </c>
      <c r="B183" s="78" t="s">
        <v>109</v>
      </c>
      <c r="C183" s="79">
        <f>SUM(C184,C205,C207,C214)</f>
        <v>2665000</v>
      </c>
      <c r="D183" s="79">
        <f t="shared" ref="D183:K183" si="52">SUM(D184,D205,D207,D214)</f>
        <v>2665000</v>
      </c>
      <c r="E183" s="79">
        <f t="shared" si="52"/>
        <v>574711.81000000006</v>
      </c>
      <c r="F183" s="79">
        <f t="shared" si="52"/>
        <v>2729500</v>
      </c>
      <c r="G183" s="79">
        <f t="shared" si="52"/>
        <v>2811500</v>
      </c>
      <c r="H183" s="79">
        <f t="shared" si="52"/>
        <v>2730000</v>
      </c>
      <c r="I183" s="79">
        <f t="shared" si="52"/>
        <v>65000</v>
      </c>
      <c r="J183" s="79">
        <f t="shared" si="52"/>
        <v>2811000</v>
      </c>
      <c r="K183" s="79">
        <f t="shared" si="52"/>
        <v>2896000</v>
      </c>
    </row>
    <row r="184" spans="1:11" s="8" customFormat="1">
      <c r="A184" s="30" t="s">
        <v>39</v>
      </c>
      <c r="B184" s="31" t="s">
        <v>40</v>
      </c>
      <c r="C184" s="33">
        <f>SUM(C185:C204)</f>
        <v>980000</v>
      </c>
      <c r="D184" s="33">
        <f t="shared" ref="D184:K184" si="53">SUM(D185:D204)</f>
        <v>980000</v>
      </c>
      <c r="E184" s="33">
        <f t="shared" si="53"/>
        <v>11199.789999999999</v>
      </c>
      <c r="F184" s="33">
        <f t="shared" si="53"/>
        <v>1175000</v>
      </c>
      <c r="G184" s="33">
        <f t="shared" si="53"/>
        <v>1217000</v>
      </c>
      <c r="H184" s="33">
        <f t="shared" si="53"/>
        <v>430000</v>
      </c>
      <c r="I184" s="33">
        <f t="shared" si="53"/>
        <v>-550000</v>
      </c>
      <c r="J184" s="33">
        <f t="shared" si="53"/>
        <v>1041000</v>
      </c>
      <c r="K184" s="33">
        <f t="shared" si="53"/>
        <v>1065000</v>
      </c>
    </row>
    <row r="185" spans="1:11" s="8" customFormat="1">
      <c r="A185" s="27" t="s">
        <v>41</v>
      </c>
      <c r="B185" s="27" t="s">
        <v>42</v>
      </c>
      <c r="C185" s="28">
        <v>120000</v>
      </c>
      <c r="D185" s="28">
        <v>120000</v>
      </c>
      <c r="E185" s="28"/>
      <c r="F185" s="28">
        <v>200000</v>
      </c>
      <c r="G185" s="28">
        <v>200000</v>
      </c>
      <c r="H185" s="28">
        <v>93000</v>
      </c>
      <c r="I185" s="28">
        <f t="shared" si="45"/>
        <v>-27000</v>
      </c>
      <c r="J185" s="28">
        <v>150000</v>
      </c>
      <c r="K185" s="28">
        <v>150000</v>
      </c>
    </row>
    <row r="186" spans="1:11" s="8" customFormat="1">
      <c r="A186" s="27" t="s">
        <v>45</v>
      </c>
      <c r="B186" s="27" t="s">
        <v>46</v>
      </c>
      <c r="C186" s="28">
        <v>200000</v>
      </c>
      <c r="D186" s="28">
        <v>200000</v>
      </c>
      <c r="E186" s="29">
        <v>6772.5</v>
      </c>
      <c r="F186" s="28">
        <v>300000</v>
      </c>
      <c r="G186" s="28">
        <v>350000</v>
      </c>
      <c r="H186" s="28">
        <v>80000</v>
      </c>
      <c r="I186" s="28">
        <f t="shared" si="45"/>
        <v>-120000</v>
      </c>
      <c r="J186" s="28">
        <v>120000</v>
      </c>
      <c r="K186" s="28">
        <v>120000</v>
      </c>
    </row>
    <row r="187" spans="1:11" s="8" customFormat="1">
      <c r="A187" s="27" t="s">
        <v>49</v>
      </c>
      <c r="B187" s="27" t="s">
        <v>50</v>
      </c>
      <c r="C187" s="28">
        <v>35000</v>
      </c>
      <c r="D187" s="28">
        <v>35000</v>
      </c>
      <c r="E187" s="29">
        <v>63</v>
      </c>
      <c r="F187" s="28">
        <v>50000</v>
      </c>
      <c r="G187" s="28">
        <v>50000</v>
      </c>
      <c r="H187" s="28">
        <v>10000</v>
      </c>
      <c r="I187" s="28">
        <f t="shared" si="45"/>
        <v>-25000</v>
      </c>
      <c r="J187" s="28">
        <v>50000</v>
      </c>
      <c r="K187" s="28">
        <v>50000</v>
      </c>
    </row>
    <row r="188" spans="1:11" s="8" customFormat="1">
      <c r="A188" s="27" t="s">
        <v>51</v>
      </c>
      <c r="B188" s="27" t="s">
        <v>52</v>
      </c>
      <c r="C188" s="28">
        <v>10000</v>
      </c>
      <c r="D188" s="28">
        <v>10000</v>
      </c>
      <c r="E188" s="28"/>
      <c r="F188" s="28">
        <v>10000</v>
      </c>
      <c r="G188" s="28">
        <v>10000</v>
      </c>
      <c r="H188" s="28">
        <v>10000</v>
      </c>
      <c r="I188" s="28">
        <f t="shared" si="45"/>
        <v>0</v>
      </c>
      <c r="J188" s="28">
        <v>50000</v>
      </c>
      <c r="K188" s="28">
        <v>50000</v>
      </c>
    </row>
    <row r="189" spans="1:11" s="8" customFormat="1">
      <c r="A189" s="27" t="s">
        <v>53</v>
      </c>
      <c r="B189" s="27" t="s">
        <v>54</v>
      </c>
      <c r="C189" s="28">
        <v>10000</v>
      </c>
      <c r="D189" s="28">
        <v>10000</v>
      </c>
      <c r="E189" s="28"/>
      <c r="F189" s="28">
        <v>10000</v>
      </c>
      <c r="G189" s="28">
        <v>5000</v>
      </c>
      <c r="H189" s="28">
        <v>10000</v>
      </c>
      <c r="I189" s="28">
        <f t="shared" si="45"/>
        <v>0</v>
      </c>
      <c r="J189" s="28">
        <v>15000</v>
      </c>
      <c r="K189" s="28">
        <v>20000</v>
      </c>
    </row>
    <row r="190" spans="1:11" s="8" customFormat="1">
      <c r="A190" s="27" t="s">
        <v>55</v>
      </c>
      <c r="B190" s="27" t="s">
        <v>56</v>
      </c>
      <c r="C190" s="28">
        <v>20000</v>
      </c>
      <c r="D190" s="28">
        <v>20000</v>
      </c>
      <c r="E190" s="28"/>
      <c r="F190" s="28">
        <v>20000</v>
      </c>
      <c r="G190" s="28">
        <v>20000</v>
      </c>
      <c r="H190" s="28">
        <v>20000</v>
      </c>
      <c r="I190" s="28">
        <f t="shared" si="45"/>
        <v>0</v>
      </c>
      <c r="J190" s="28">
        <v>20000</v>
      </c>
      <c r="K190" s="28">
        <v>20000</v>
      </c>
    </row>
    <row r="191" spans="1:11" s="8" customFormat="1">
      <c r="A191" s="27" t="s">
        <v>57</v>
      </c>
      <c r="B191" s="27" t="s">
        <v>58</v>
      </c>
      <c r="C191" s="28">
        <v>10000</v>
      </c>
      <c r="D191" s="28">
        <v>10000</v>
      </c>
      <c r="E191" s="28"/>
      <c r="F191" s="28">
        <v>10000</v>
      </c>
      <c r="G191" s="28">
        <v>10000</v>
      </c>
      <c r="H191" s="28">
        <v>10000</v>
      </c>
      <c r="I191" s="28">
        <f t="shared" si="45"/>
        <v>0</v>
      </c>
      <c r="J191" s="28">
        <v>50000</v>
      </c>
      <c r="K191" s="28">
        <v>50000</v>
      </c>
    </row>
    <row r="192" spans="1:11" s="8" customFormat="1">
      <c r="A192" s="27" t="s">
        <v>59</v>
      </c>
      <c r="B192" s="27" t="s">
        <v>60</v>
      </c>
      <c r="C192" s="28"/>
      <c r="D192" s="28"/>
      <c r="E192" s="28"/>
      <c r="F192" s="28"/>
      <c r="G192" s="28"/>
      <c r="H192" s="28">
        <v>5000</v>
      </c>
      <c r="I192" s="28">
        <f t="shared" si="45"/>
        <v>5000</v>
      </c>
      <c r="J192" s="28">
        <v>80000</v>
      </c>
      <c r="K192" s="28">
        <v>80000</v>
      </c>
    </row>
    <row r="193" spans="1:11" s="8" customFormat="1">
      <c r="A193" s="27" t="s">
        <v>63</v>
      </c>
      <c r="B193" s="27" t="s">
        <v>64</v>
      </c>
      <c r="C193" s="28">
        <v>150000</v>
      </c>
      <c r="D193" s="28">
        <v>150000</v>
      </c>
      <c r="E193" s="28"/>
      <c r="F193" s="28">
        <v>150000</v>
      </c>
      <c r="G193" s="28">
        <v>150000</v>
      </c>
      <c r="H193" s="28">
        <v>50000</v>
      </c>
      <c r="I193" s="28">
        <f t="shared" si="45"/>
        <v>-100000</v>
      </c>
      <c r="J193" s="28">
        <v>100000</v>
      </c>
      <c r="K193" s="28">
        <v>100000</v>
      </c>
    </row>
    <row r="194" spans="1:11" s="8" customFormat="1">
      <c r="A194" s="27" t="s">
        <v>65</v>
      </c>
      <c r="B194" s="27" t="s">
        <v>66</v>
      </c>
      <c r="C194" s="28">
        <v>40000</v>
      </c>
      <c r="D194" s="28">
        <v>40000</v>
      </c>
      <c r="E194" s="29">
        <v>892.5</v>
      </c>
      <c r="F194" s="28">
        <v>40000</v>
      </c>
      <c r="G194" s="28">
        <v>40000</v>
      </c>
      <c r="H194" s="28">
        <v>10000</v>
      </c>
      <c r="I194" s="28">
        <f t="shared" si="45"/>
        <v>-30000</v>
      </c>
      <c r="J194" s="28">
        <v>40000</v>
      </c>
      <c r="K194" s="28">
        <v>40000</v>
      </c>
    </row>
    <row r="195" spans="1:11" s="8" customFormat="1">
      <c r="A195" s="27" t="s">
        <v>67</v>
      </c>
      <c r="B195" s="27" t="s">
        <v>68</v>
      </c>
      <c r="C195" s="28">
        <v>5000</v>
      </c>
      <c r="D195" s="28">
        <v>5000</v>
      </c>
      <c r="E195" s="28"/>
      <c r="F195" s="28">
        <v>5000</v>
      </c>
      <c r="G195" s="28">
        <v>5000</v>
      </c>
      <c r="H195" s="28">
        <v>5000</v>
      </c>
      <c r="I195" s="28">
        <f t="shared" si="45"/>
        <v>0</v>
      </c>
      <c r="J195" s="28">
        <v>5000</v>
      </c>
      <c r="K195" s="28">
        <v>5000</v>
      </c>
    </row>
    <row r="196" spans="1:11" s="8" customFormat="1">
      <c r="A196" s="27" t="s">
        <v>69</v>
      </c>
      <c r="B196" s="27" t="s">
        <v>70</v>
      </c>
      <c r="C196" s="28">
        <v>30000</v>
      </c>
      <c r="D196" s="28">
        <v>30000</v>
      </c>
      <c r="E196" s="28"/>
      <c r="F196" s="28">
        <v>30000</v>
      </c>
      <c r="G196" s="28">
        <v>30000</v>
      </c>
      <c r="H196" s="28">
        <v>10000</v>
      </c>
      <c r="I196" s="28">
        <f t="shared" si="45"/>
        <v>-20000</v>
      </c>
      <c r="J196" s="28">
        <v>60000</v>
      </c>
      <c r="K196" s="28">
        <v>60000</v>
      </c>
    </row>
    <row r="197" spans="1:11" s="8" customFormat="1">
      <c r="A197" s="27" t="s">
        <v>71</v>
      </c>
      <c r="B197" s="27" t="s">
        <v>72</v>
      </c>
      <c r="C197" s="28">
        <v>7000</v>
      </c>
      <c r="D197" s="28">
        <v>7000</v>
      </c>
      <c r="E197" s="28"/>
      <c r="F197" s="28">
        <v>7000</v>
      </c>
      <c r="G197" s="28">
        <v>7000</v>
      </c>
      <c r="H197" s="28">
        <v>7000</v>
      </c>
      <c r="I197" s="28">
        <f t="shared" si="45"/>
        <v>0</v>
      </c>
      <c r="J197" s="28">
        <v>10000</v>
      </c>
      <c r="K197" s="28">
        <v>10000</v>
      </c>
    </row>
    <row r="198" spans="1:11" s="8" customFormat="1">
      <c r="A198" s="27" t="s">
        <v>73</v>
      </c>
      <c r="B198" s="27" t="s">
        <v>74</v>
      </c>
      <c r="C198" s="28">
        <v>100000</v>
      </c>
      <c r="D198" s="28">
        <v>100000</v>
      </c>
      <c r="E198" s="28"/>
      <c r="F198" s="28">
        <v>100000</v>
      </c>
      <c r="G198" s="28">
        <v>100000</v>
      </c>
      <c r="H198" s="28">
        <v>10000</v>
      </c>
      <c r="I198" s="28">
        <f t="shared" si="45"/>
        <v>-90000</v>
      </c>
      <c r="J198" s="28">
        <v>50000</v>
      </c>
      <c r="K198" s="28">
        <v>50000</v>
      </c>
    </row>
    <row r="199" spans="1:11" s="8" customFormat="1">
      <c r="A199" s="27" t="s">
        <v>132</v>
      </c>
      <c r="B199" s="27" t="s">
        <v>133</v>
      </c>
      <c r="C199" s="28">
        <v>53000</v>
      </c>
      <c r="D199" s="28">
        <v>53000</v>
      </c>
      <c r="E199" s="28"/>
      <c r="F199" s="28">
        <v>53000</v>
      </c>
      <c r="G199" s="28">
        <v>50000</v>
      </c>
      <c r="H199" s="28">
        <v>10000</v>
      </c>
      <c r="I199" s="28">
        <f t="shared" si="45"/>
        <v>-43000</v>
      </c>
      <c r="J199" s="28">
        <v>50000</v>
      </c>
      <c r="K199" s="28">
        <v>50000</v>
      </c>
    </row>
    <row r="200" spans="1:11" s="8" customFormat="1">
      <c r="A200" s="27" t="s">
        <v>75</v>
      </c>
      <c r="B200" s="27" t="s">
        <v>76</v>
      </c>
      <c r="C200" s="28">
        <v>50000</v>
      </c>
      <c r="D200" s="28">
        <v>50000</v>
      </c>
      <c r="E200" s="29">
        <v>113.44</v>
      </c>
      <c r="F200" s="28">
        <v>50000</v>
      </c>
      <c r="G200" s="28">
        <v>50000</v>
      </c>
      <c r="H200" s="28">
        <v>20000</v>
      </c>
      <c r="I200" s="28">
        <f t="shared" si="45"/>
        <v>-30000</v>
      </c>
      <c r="J200" s="28">
        <v>50000</v>
      </c>
      <c r="K200" s="28">
        <v>50000</v>
      </c>
    </row>
    <row r="201" spans="1:11" s="8" customFormat="1">
      <c r="A201" s="27" t="s">
        <v>78</v>
      </c>
      <c r="B201" s="27" t="s">
        <v>77</v>
      </c>
      <c r="C201" s="28">
        <v>50000</v>
      </c>
      <c r="D201" s="28">
        <v>50000</v>
      </c>
      <c r="E201" s="28"/>
      <c r="F201" s="28">
        <v>50000</v>
      </c>
      <c r="G201" s="28">
        <v>50000</v>
      </c>
      <c r="H201" s="28">
        <v>20000</v>
      </c>
      <c r="I201" s="28">
        <f t="shared" si="45"/>
        <v>-30000</v>
      </c>
      <c r="J201" s="28">
        <v>50000</v>
      </c>
      <c r="K201" s="28">
        <v>60000</v>
      </c>
    </row>
    <row r="202" spans="1:11" s="8" customFormat="1">
      <c r="A202" s="27" t="s">
        <v>82</v>
      </c>
      <c r="B202" s="27" t="s">
        <v>83</v>
      </c>
      <c r="C202" s="28">
        <v>20000</v>
      </c>
      <c r="D202" s="28">
        <v>20000</v>
      </c>
      <c r="E202" s="29">
        <v>3358.35</v>
      </c>
      <c r="F202" s="28">
        <v>20000</v>
      </c>
      <c r="G202" s="28">
        <v>20000</v>
      </c>
      <c r="H202" s="28">
        <v>20000</v>
      </c>
      <c r="I202" s="28">
        <f t="shared" si="45"/>
        <v>0</v>
      </c>
      <c r="J202" s="28">
        <v>41000</v>
      </c>
      <c r="K202" s="28">
        <v>50000</v>
      </c>
    </row>
    <row r="203" spans="1:11" s="8" customFormat="1">
      <c r="A203" s="27" t="s">
        <v>84</v>
      </c>
      <c r="B203" s="27" t="s">
        <v>85</v>
      </c>
      <c r="C203" s="28">
        <v>50000</v>
      </c>
      <c r="D203" s="28">
        <v>50000</v>
      </c>
      <c r="E203" s="28"/>
      <c r="F203" s="28">
        <v>50000</v>
      </c>
      <c r="G203" s="28">
        <v>50000</v>
      </c>
      <c r="H203" s="28">
        <v>10000</v>
      </c>
      <c r="I203" s="28">
        <f t="shared" si="45"/>
        <v>-40000</v>
      </c>
      <c r="J203" s="28">
        <v>30000</v>
      </c>
      <c r="K203" s="28">
        <v>30000</v>
      </c>
    </row>
    <row r="204" spans="1:11" s="8" customFormat="1">
      <c r="A204" s="27" t="s">
        <v>92</v>
      </c>
      <c r="B204" s="27" t="s">
        <v>79</v>
      </c>
      <c r="C204" s="28">
        <v>20000</v>
      </c>
      <c r="D204" s="28">
        <v>20000</v>
      </c>
      <c r="E204" s="28"/>
      <c r="F204" s="28">
        <v>20000</v>
      </c>
      <c r="G204" s="28">
        <v>20000</v>
      </c>
      <c r="H204" s="28">
        <v>20000</v>
      </c>
      <c r="I204" s="28">
        <f t="shared" si="45"/>
        <v>0</v>
      </c>
      <c r="J204" s="28">
        <v>20000</v>
      </c>
      <c r="K204" s="28">
        <v>20000</v>
      </c>
    </row>
    <row r="205" spans="1:11" s="8" customFormat="1">
      <c r="A205" s="30" t="s">
        <v>112</v>
      </c>
      <c r="B205" s="31" t="s">
        <v>113</v>
      </c>
      <c r="C205" s="33">
        <f>SUM(C206)</f>
        <v>30000</v>
      </c>
      <c r="D205" s="33">
        <f t="shared" ref="D205:J205" si="54">SUM(D206)</f>
        <v>30000</v>
      </c>
      <c r="E205" s="33">
        <f t="shared" si="54"/>
        <v>0</v>
      </c>
      <c r="F205" s="33">
        <f t="shared" si="54"/>
        <v>30000</v>
      </c>
      <c r="G205" s="33">
        <f t="shared" si="54"/>
        <v>30000</v>
      </c>
      <c r="H205" s="33">
        <f t="shared" si="54"/>
        <v>20000</v>
      </c>
      <c r="I205" s="33">
        <f t="shared" si="54"/>
        <v>-10000</v>
      </c>
      <c r="J205" s="33">
        <f t="shared" si="54"/>
        <v>30000</v>
      </c>
      <c r="K205" s="33">
        <f>SUM(K206)</f>
        <v>30000</v>
      </c>
    </row>
    <row r="206" spans="1:11" s="8" customFormat="1">
      <c r="A206" s="27" t="s">
        <v>114</v>
      </c>
      <c r="B206" s="27" t="s">
        <v>115</v>
      </c>
      <c r="C206" s="28">
        <v>30000</v>
      </c>
      <c r="D206" s="28">
        <v>30000</v>
      </c>
      <c r="E206" s="28"/>
      <c r="F206" s="28">
        <v>30000</v>
      </c>
      <c r="G206" s="28">
        <v>30000</v>
      </c>
      <c r="H206" s="28">
        <v>20000</v>
      </c>
      <c r="I206" s="28">
        <f t="shared" si="45"/>
        <v>-10000</v>
      </c>
      <c r="J206" s="28">
        <v>30000</v>
      </c>
      <c r="K206" s="28">
        <v>30000</v>
      </c>
    </row>
    <row r="207" spans="1:11" s="8" customFormat="1">
      <c r="A207" s="30" t="s">
        <v>116</v>
      </c>
      <c r="B207" s="31" t="s">
        <v>117</v>
      </c>
      <c r="C207" s="33">
        <f>SUM(C208:C213)</f>
        <v>1355000</v>
      </c>
      <c r="D207" s="33">
        <f t="shared" ref="D207:K207" si="55">SUM(D208:D213)</f>
        <v>1355000</v>
      </c>
      <c r="E207" s="33">
        <f t="shared" si="55"/>
        <v>563512.02</v>
      </c>
      <c r="F207" s="33">
        <f t="shared" si="55"/>
        <v>1324500</v>
      </c>
      <c r="G207" s="33">
        <f t="shared" si="55"/>
        <v>1364500</v>
      </c>
      <c r="H207" s="33">
        <f t="shared" si="55"/>
        <v>2210000</v>
      </c>
      <c r="I207" s="33">
        <f t="shared" si="55"/>
        <v>855000</v>
      </c>
      <c r="J207" s="33">
        <f t="shared" si="55"/>
        <v>1340000</v>
      </c>
      <c r="K207" s="33">
        <f t="shared" si="55"/>
        <v>1450000</v>
      </c>
    </row>
    <row r="208" spans="1:11" s="8" customFormat="1">
      <c r="A208" s="27" t="s">
        <v>118</v>
      </c>
      <c r="B208" s="27" t="s">
        <v>119</v>
      </c>
      <c r="C208" s="28">
        <v>500000</v>
      </c>
      <c r="D208" s="28">
        <v>500000</v>
      </c>
      <c r="E208" s="29">
        <v>83848</v>
      </c>
      <c r="F208" s="28">
        <v>650000</v>
      </c>
      <c r="G208" s="28">
        <v>650000</v>
      </c>
      <c r="H208" s="28">
        <v>350000</v>
      </c>
      <c r="I208" s="28">
        <f t="shared" si="45"/>
        <v>-150000</v>
      </c>
      <c r="J208" s="28">
        <v>450000</v>
      </c>
      <c r="K208" s="28">
        <v>450000</v>
      </c>
    </row>
    <row r="209" spans="1:11" s="8" customFormat="1">
      <c r="A209" s="27" t="s">
        <v>120</v>
      </c>
      <c r="B209" s="27" t="s">
        <v>121</v>
      </c>
      <c r="C209" s="28">
        <v>400000</v>
      </c>
      <c r="D209" s="28">
        <v>400000</v>
      </c>
      <c r="E209" s="29">
        <v>479664.02</v>
      </c>
      <c r="F209" s="28">
        <v>300000</v>
      </c>
      <c r="G209" s="28">
        <v>350000</v>
      </c>
      <c r="H209" s="28">
        <v>200000</v>
      </c>
      <c r="I209" s="28">
        <f t="shared" si="45"/>
        <v>-200000</v>
      </c>
      <c r="J209" s="28">
        <v>400000</v>
      </c>
      <c r="K209" s="28">
        <v>500000</v>
      </c>
    </row>
    <row r="210" spans="1:11" s="8" customFormat="1">
      <c r="A210" s="27" t="s">
        <v>122</v>
      </c>
      <c r="B210" s="27" t="s">
        <v>123</v>
      </c>
      <c r="C210" s="28">
        <v>50000</v>
      </c>
      <c r="D210" s="28">
        <v>50000</v>
      </c>
      <c r="E210" s="28"/>
      <c r="F210" s="28">
        <v>54500</v>
      </c>
      <c r="G210" s="28">
        <v>54500</v>
      </c>
      <c r="H210" s="28">
        <v>55000</v>
      </c>
      <c r="I210" s="28">
        <f t="shared" si="45"/>
        <v>5000</v>
      </c>
      <c r="J210" s="28">
        <v>150000</v>
      </c>
      <c r="K210" s="28">
        <v>150000</v>
      </c>
    </row>
    <row r="211" spans="1:11" s="8" customFormat="1">
      <c r="A211" s="27" t="s">
        <v>124</v>
      </c>
      <c r="B211" s="27" t="s">
        <v>125</v>
      </c>
      <c r="C211" s="28">
        <v>65000</v>
      </c>
      <c r="D211" s="28">
        <v>65000</v>
      </c>
      <c r="E211" s="28"/>
      <c r="F211" s="28">
        <v>50000</v>
      </c>
      <c r="G211" s="28">
        <v>50000</v>
      </c>
      <c r="H211" s="28">
        <v>25000</v>
      </c>
      <c r="I211" s="28">
        <f t="shared" si="45"/>
        <v>-40000</v>
      </c>
      <c r="J211" s="28">
        <v>50000</v>
      </c>
      <c r="K211" s="28">
        <v>50000</v>
      </c>
    </row>
    <row r="212" spans="1:11" s="8" customFormat="1">
      <c r="A212" s="27" t="s">
        <v>160</v>
      </c>
      <c r="B212" s="27" t="s">
        <v>161</v>
      </c>
      <c r="C212" s="28">
        <v>200000</v>
      </c>
      <c r="D212" s="28">
        <v>200000</v>
      </c>
      <c r="E212" s="28"/>
      <c r="F212" s="28">
        <v>120000</v>
      </c>
      <c r="G212" s="28">
        <v>120000</v>
      </c>
      <c r="H212" s="28">
        <v>1530000</v>
      </c>
      <c r="I212" s="28">
        <f t="shared" ref="I212:I279" si="56">H212-D212</f>
        <v>1330000</v>
      </c>
      <c r="J212" s="28">
        <v>150000</v>
      </c>
      <c r="K212" s="28">
        <v>150000</v>
      </c>
    </row>
    <row r="213" spans="1:11" s="8" customFormat="1">
      <c r="A213" s="27" t="s">
        <v>188</v>
      </c>
      <c r="B213" s="27" t="s">
        <v>189</v>
      </c>
      <c r="C213" s="28">
        <v>140000</v>
      </c>
      <c r="D213" s="28">
        <v>140000</v>
      </c>
      <c r="E213" s="28"/>
      <c r="F213" s="28">
        <v>150000</v>
      </c>
      <c r="G213" s="28">
        <v>140000</v>
      </c>
      <c r="H213" s="28">
        <v>50000</v>
      </c>
      <c r="I213" s="28">
        <f t="shared" si="56"/>
        <v>-90000</v>
      </c>
      <c r="J213" s="28">
        <v>140000</v>
      </c>
      <c r="K213" s="28">
        <v>150000</v>
      </c>
    </row>
    <row r="214" spans="1:11" s="8" customFormat="1">
      <c r="A214" s="30" t="s">
        <v>134</v>
      </c>
      <c r="B214" s="31" t="s">
        <v>135</v>
      </c>
      <c r="C214" s="33">
        <f>SUM(C215:C216)</f>
        <v>300000</v>
      </c>
      <c r="D214" s="33">
        <f t="shared" ref="D214:K214" si="57">SUM(D215:D216)</f>
        <v>300000</v>
      </c>
      <c r="E214" s="33">
        <f t="shared" si="57"/>
        <v>0</v>
      </c>
      <c r="F214" s="33">
        <f t="shared" si="57"/>
        <v>200000</v>
      </c>
      <c r="G214" s="33">
        <f t="shared" si="57"/>
        <v>200000</v>
      </c>
      <c r="H214" s="33">
        <f t="shared" si="57"/>
        <v>70000</v>
      </c>
      <c r="I214" s="33">
        <f t="shared" si="57"/>
        <v>-230000</v>
      </c>
      <c r="J214" s="33">
        <f t="shared" si="57"/>
        <v>400000</v>
      </c>
      <c r="K214" s="33">
        <f t="shared" si="57"/>
        <v>351000</v>
      </c>
    </row>
    <row r="215" spans="1:11" s="8" customFormat="1">
      <c r="A215" s="27" t="s">
        <v>137</v>
      </c>
      <c r="B215" s="27" t="s">
        <v>136</v>
      </c>
      <c r="C215" s="28">
        <v>100000</v>
      </c>
      <c r="D215" s="28">
        <v>100000</v>
      </c>
      <c r="E215" s="28"/>
      <c r="F215" s="28">
        <v>100000</v>
      </c>
      <c r="G215" s="28">
        <v>100000</v>
      </c>
      <c r="H215" s="28">
        <v>50000</v>
      </c>
      <c r="I215" s="28">
        <f t="shared" si="56"/>
        <v>-50000</v>
      </c>
      <c r="J215" s="28">
        <v>300000</v>
      </c>
      <c r="K215" s="28">
        <v>251000</v>
      </c>
    </row>
    <row r="216" spans="1:11" s="8" customFormat="1">
      <c r="A216" s="27" t="s">
        <v>205</v>
      </c>
      <c r="B216" s="27" t="s">
        <v>204</v>
      </c>
      <c r="C216" s="28">
        <v>200000</v>
      </c>
      <c r="D216" s="28">
        <v>200000</v>
      </c>
      <c r="E216" s="28"/>
      <c r="F216" s="28">
        <v>100000</v>
      </c>
      <c r="G216" s="28">
        <v>100000</v>
      </c>
      <c r="H216" s="28">
        <v>20000</v>
      </c>
      <c r="I216" s="28">
        <f t="shared" si="56"/>
        <v>-180000</v>
      </c>
      <c r="J216" s="28">
        <v>100000</v>
      </c>
      <c r="K216" s="28">
        <v>100000</v>
      </c>
    </row>
    <row r="217" spans="1:11" s="19" customFormat="1" ht="40.799999999999997">
      <c r="A217" s="91" t="s">
        <v>206</v>
      </c>
      <c r="B217" s="92" t="s">
        <v>207</v>
      </c>
      <c r="C217" s="15">
        <f>SUM(C218)</f>
        <v>69200000</v>
      </c>
      <c r="D217" s="15">
        <f t="shared" ref="D217:K217" si="58">SUM(D218)</f>
        <v>69200000</v>
      </c>
      <c r="E217" s="15">
        <f t="shared" si="58"/>
        <v>7372317.5999999996</v>
      </c>
      <c r="F217" s="15">
        <f t="shared" si="58"/>
        <v>31990000</v>
      </c>
      <c r="G217" s="15">
        <f t="shared" si="58"/>
        <v>14134000</v>
      </c>
      <c r="H217" s="15">
        <f t="shared" si="58"/>
        <v>150646000</v>
      </c>
      <c r="I217" s="15">
        <f t="shared" si="58"/>
        <v>81446000</v>
      </c>
      <c r="J217" s="15">
        <f t="shared" si="58"/>
        <v>93617000</v>
      </c>
      <c r="K217" s="15">
        <f t="shared" si="58"/>
        <v>101687000</v>
      </c>
    </row>
    <row r="218" spans="1:11" s="8" customFormat="1" ht="20.399999999999999">
      <c r="A218" s="36" t="s">
        <v>314</v>
      </c>
      <c r="B218" s="37" t="s">
        <v>325</v>
      </c>
      <c r="C218" s="38">
        <f>SUM(C219,C231,C233,C243)</f>
        <v>69200000</v>
      </c>
      <c r="D218" s="38">
        <f t="shared" ref="D218:K218" si="59">SUM(D219,D231,D233,D243)</f>
        <v>69200000</v>
      </c>
      <c r="E218" s="38">
        <f t="shared" si="59"/>
        <v>7372317.5999999996</v>
      </c>
      <c r="F218" s="38">
        <f t="shared" si="59"/>
        <v>31990000</v>
      </c>
      <c r="G218" s="38">
        <f t="shared" si="59"/>
        <v>14134000</v>
      </c>
      <c r="H218" s="38">
        <f t="shared" si="59"/>
        <v>150646000</v>
      </c>
      <c r="I218" s="38">
        <f t="shared" si="59"/>
        <v>81446000</v>
      </c>
      <c r="J218" s="38">
        <f t="shared" si="59"/>
        <v>93617000</v>
      </c>
      <c r="K218" s="38">
        <f t="shared" si="59"/>
        <v>101687000</v>
      </c>
    </row>
    <row r="219" spans="1:11" s="8" customFormat="1">
      <c r="A219" s="30" t="s">
        <v>39</v>
      </c>
      <c r="B219" s="31" t="s">
        <v>40</v>
      </c>
      <c r="C219" s="33">
        <f>SUM(C220:C230)</f>
        <v>16625000</v>
      </c>
      <c r="D219" s="33">
        <f t="shared" ref="D219:K219" si="60">SUM(D220:D230)</f>
        <v>16625000</v>
      </c>
      <c r="E219" s="33">
        <f t="shared" si="60"/>
        <v>2999886.1799999997</v>
      </c>
      <c r="F219" s="33">
        <f t="shared" si="60"/>
        <v>9090000</v>
      </c>
      <c r="G219" s="33">
        <f t="shared" si="60"/>
        <v>9090000</v>
      </c>
      <c r="H219" s="33">
        <f t="shared" si="60"/>
        <v>521000</v>
      </c>
      <c r="I219" s="33">
        <f t="shared" si="60"/>
        <v>-16104000</v>
      </c>
      <c r="J219" s="33">
        <f t="shared" si="60"/>
        <v>521000</v>
      </c>
      <c r="K219" s="33">
        <f t="shared" si="60"/>
        <v>521000</v>
      </c>
    </row>
    <row r="220" spans="1:11" s="8" customFormat="1">
      <c r="A220" s="27" t="s">
        <v>41</v>
      </c>
      <c r="B220" s="27" t="s">
        <v>42</v>
      </c>
      <c r="C220" s="28">
        <v>20000</v>
      </c>
      <c r="D220" s="28">
        <v>20000</v>
      </c>
      <c r="E220" s="28"/>
      <c r="F220" s="28">
        <v>20000</v>
      </c>
      <c r="G220" s="28">
        <v>20000</v>
      </c>
      <c r="H220" s="28">
        <v>15000</v>
      </c>
      <c r="I220" s="28">
        <f t="shared" si="56"/>
        <v>-5000</v>
      </c>
      <c r="J220" s="28">
        <v>15000</v>
      </c>
      <c r="K220" s="28">
        <v>15000</v>
      </c>
    </row>
    <row r="221" spans="1:11" s="8" customFormat="1">
      <c r="A221" s="27" t="s">
        <v>43</v>
      </c>
      <c r="B221" s="27" t="s">
        <v>44</v>
      </c>
      <c r="C221" s="28">
        <v>10000</v>
      </c>
      <c r="D221" s="28">
        <v>10000</v>
      </c>
      <c r="E221" s="28"/>
      <c r="F221" s="28">
        <v>10000</v>
      </c>
      <c r="G221" s="28">
        <v>10000</v>
      </c>
      <c r="H221" s="28"/>
      <c r="I221" s="28">
        <f t="shared" si="56"/>
        <v>-10000</v>
      </c>
      <c r="J221" s="28"/>
      <c r="K221" s="28"/>
    </row>
    <row r="222" spans="1:11" s="8" customFormat="1">
      <c r="A222" s="27" t="s">
        <v>45</v>
      </c>
      <c r="B222" s="27" t="s">
        <v>46</v>
      </c>
      <c r="C222" s="28">
        <v>40000</v>
      </c>
      <c r="D222" s="28">
        <v>40000</v>
      </c>
      <c r="E222" s="28"/>
      <c r="F222" s="28">
        <v>40000</v>
      </c>
      <c r="G222" s="28">
        <v>40000</v>
      </c>
      <c r="H222" s="28">
        <v>5000</v>
      </c>
      <c r="I222" s="28">
        <f t="shared" si="56"/>
        <v>-35000</v>
      </c>
      <c r="J222" s="28">
        <v>5000</v>
      </c>
      <c r="K222" s="28">
        <v>5000</v>
      </c>
    </row>
    <row r="223" spans="1:11" s="8" customFormat="1">
      <c r="A223" s="27" t="s">
        <v>47</v>
      </c>
      <c r="B223" s="27" t="s">
        <v>48</v>
      </c>
      <c r="C223" s="28">
        <v>1000000</v>
      </c>
      <c r="D223" s="28">
        <v>1000000</v>
      </c>
      <c r="E223" s="29">
        <v>18731.86</v>
      </c>
      <c r="F223" s="28"/>
      <c r="G223" s="28"/>
      <c r="H223" s="28"/>
      <c r="I223" s="28">
        <f t="shared" si="56"/>
        <v>-1000000</v>
      </c>
      <c r="J223" s="28"/>
      <c r="K223" s="28"/>
    </row>
    <row r="224" spans="1:11" s="8" customFormat="1">
      <c r="A224" s="27" t="s">
        <v>49</v>
      </c>
      <c r="B224" s="27" t="s">
        <v>50</v>
      </c>
      <c r="C224" s="28">
        <v>45000</v>
      </c>
      <c r="D224" s="28">
        <v>45000</v>
      </c>
      <c r="E224" s="28"/>
      <c r="F224" s="28">
        <v>20000</v>
      </c>
      <c r="G224" s="28">
        <v>20000</v>
      </c>
      <c r="H224" s="28"/>
      <c r="I224" s="28">
        <f t="shared" si="56"/>
        <v>-45000</v>
      </c>
      <c r="J224" s="28"/>
      <c r="K224" s="28"/>
    </row>
    <row r="225" spans="1:11" s="8" customFormat="1">
      <c r="A225" s="27" t="s">
        <v>63</v>
      </c>
      <c r="B225" s="27" t="s">
        <v>64</v>
      </c>
      <c r="C225" s="28">
        <v>2500000</v>
      </c>
      <c r="D225" s="28">
        <v>2500000</v>
      </c>
      <c r="E225" s="29">
        <v>2570381.79</v>
      </c>
      <c r="F225" s="28">
        <v>2000000</v>
      </c>
      <c r="G225" s="28">
        <v>2000000</v>
      </c>
      <c r="H225" s="28"/>
      <c r="I225" s="28">
        <f t="shared" si="56"/>
        <v>-2500000</v>
      </c>
      <c r="J225" s="28"/>
      <c r="K225" s="28"/>
    </row>
    <row r="226" spans="1:11" s="8" customFormat="1">
      <c r="A226" s="27" t="s">
        <v>65</v>
      </c>
      <c r="B226" s="27" t="s">
        <v>66</v>
      </c>
      <c r="C226" s="28"/>
      <c r="D226" s="28"/>
      <c r="E226" s="29"/>
      <c r="F226" s="28"/>
      <c r="G226" s="28"/>
      <c r="H226" s="28">
        <v>1000</v>
      </c>
      <c r="I226" s="28">
        <f t="shared" si="56"/>
        <v>1000</v>
      </c>
      <c r="J226" s="28">
        <v>1000</v>
      </c>
      <c r="K226" s="28">
        <v>1000</v>
      </c>
    </row>
    <row r="227" spans="1:11" s="8" customFormat="1">
      <c r="A227" s="27" t="s">
        <v>69</v>
      </c>
      <c r="B227" s="27" t="s">
        <v>70</v>
      </c>
      <c r="C227" s="41">
        <v>0</v>
      </c>
      <c r="D227" s="41">
        <v>0</v>
      </c>
      <c r="E227" s="29">
        <v>410772.53</v>
      </c>
      <c r="F227" s="41">
        <v>0</v>
      </c>
      <c r="G227" s="28"/>
      <c r="H227" s="41"/>
      <c r="I227" s="28">
        <f t="shared" si="56"/>
        <v>0</v>
      </c>
      <c r="J227" s="28"/>
      <c r="K227" s="28"/>
    </row>
    <row r="228" spans="1:11" s="8" customFormat="1">
      <c r="A228" s="27" t="s">
        <v>73</v>
      </c>
      <c r="B228" s="27" t="s">
        <v>74</v>
      </c>
      <c r="C228" s="41"/>
      <c r="D228" s="41"/>
      <c r="E228" s="29"/>
      <c r="F228" s="41"/>
      <c r="G228" s="28"/>
      <c r="H228" s="41">
        <v>500000</v>
      </c>
      <c r="I228" s="28">
        <f t="shared" si="56"/>
        <v>500000</v>
      </c>
      <c r="J228" s="28">
        <v>500000</v>
      </c>
      <c r="K228" s="28">
        <v>500000</v>
      </c>
    </row>
    <row r="229" spans="1:11" s="8" customFormat="1">
      <c r="A229" s="27" t="s">
        <v>132</v>
      </c>
      <c r="B229" s="27" t="s">
        <v>133</v>
      </c>
      <c r="C229" s="28">
        <v>13000000</v>
      </c>
      <c r="D229" s="28">
        <v>13000000</v>
      </c>
      <c r="E229" s="28"/>
      <c r="F229" s="28">
        <v>7000000</v>
      </c>
      <c r="G229" s="28">
        <v>7000000</v>
      </c>
      <c r="H229" s="28"/>
      <c r="I229" s="28">
        <f t="shared" si="56"/>
        <v>-13000000</v>
      </c>
      <c r="J229" s="28"/>
      <c r="K229" s="28"/>
    </row>
    <row r="230" spans="1:11" s="8" customFormat="1">
      <c r="A230" s="27" t="s">
        <v>75</v>
      </c>
      <c r="B230" s="27" t="s">
        <v>76</v>
      </c>
      <c r="C230" s="28">
        <v>10000</v>
      </c>
      <c r="D230" s="28">
        <v>10000</v>
      </c>
      <c r="E230" s="28"/>
      <c r="F230" s="41">
        <v>0</v>
      </c>
      <c r="G230" s="28"/>
      <c r="H230" s="41"/>
      <c r="I230" s="28">
        <f t="shared" si="56"/>
        <v>-10000</v>
      </c>
      <c r="J230" s="28"/>
      <c r="K230" s="28"/>
    </row>
    <row r="231" spans="1:11" s="8" customFormat="1">
      <c r="A231" s="30" t="s">
        <v>112</v>
      </c>
      <c r="B231" s="31" t="s">
        <v>113</v>
      </c>
      <c r="C231" s="33">
        <f>SUM(C232)</f>
        <v>0</v>
      </c>
      <c r="D231" s="33">
        <f t="shared" ref="D231:K231" si="61">SUM(D232)</f>
        <v>0</v>
      </c>
      <c r="E231" s="33">
        <f t="shared" si="61"/>
        <v>2441250</v>
      </c>
      <c r="F231" s="33">
        <f t="shared" si="61"/>
        <v>0</v>
      </c>
      <c r="G231" s="33">
        <f t="shared" si="61"/>
        <v>0</v>
      </c>
      <c r="H231" s="33">
        <f t="shared" si="61"/>
        <v>500000</v>
      </c>
      <c r="I231" s="33">
        <f t="shared" si="61"/>
        <v>500000</v>
      </c>
      <c r="J231" s="33">
        <f t="shared" si="61"/>
        <v>500000</v>
      </c>
      <c r="K231" s="33">
        <f t="shared" si="61"/>
        <v>500000</v>
      </c>
    </row>
    <row r="232" spans="1:11" s="8" customFormat="1">
      <c r="A232" s="27" t="s">
        <v>114</v>
      </c>
      <c r="B232" s="27" t="s">
        <v>115</v>
      </c>
      <c r="C232" s="28"/>
      <c r="D232" s="28"/>
      <c r="E232" s="29">
        <v>2441250</v>
      </c>
      <c r="F232" s="28"/>
      <c r="G232" s="28"/>
      <c r="H232" s="28">
        <v>500000</v>
      </c>
      <c r="I232" s="28">
        <f t="shared" si="56"/>
        <v>500000</v>
      </c>
      <c r="J232" s="28">
        <v>500000</v>
      </c>
      <c r="K232" s="28">
        <v>500000</v>
      </c>
    </row>
    <row r="233" spans="1:11" s="8" customFormat="1">
      <c r="A233" s="30" t="s">
        <v>116</v>
      </c>
      <c r="B233" s="31" t="s">
        <v>117</v>
      </c>
      <c r="C233" s="33">
        <f>SUM(C234:C242)</f>
        <v>52575000</v>
      </c>
      <c r="D233" s="33">
        <f t="shared" ref="D233:K233" si="62">SUM(D234:D242)</f>
        <v>52575000</v>
      </c>
      <c r="E233" s="33">
        <f t="shared" si="62"/>
        <v>1869282.3800000001</v>
      </c>
      <c r="F233" s="33">
        <f t="shared" si="62"/>
        <v>22900000</v>
      </c>
      <c r="G233" s="33">
        <f t="shared" si="62"/>
        <v>5044000</v>
      </c>
      <c r="H233" s="33">
        <f t="shared" si="62"/>
        <v>143625000</v>
      </c>
      <c r="I233" s="33">
        <f t="shared" si="62"/>
        <v>91050000</v>
      </c>
      <c r="J233" s="33">
        <f t="shared" si="62"/>
        <v>92596000</v>
      </c>
      <c r="K233" s="33">
        <f t="shared" si="62"/>
        <v>100666000</v>
      </c>
    </row>
    <row r="234" spans="1:11" s="8" customFormat="1">
      <c r="A234" s="27" t="s">
        <v>144</v>
      </c>
      <c r="B234" s="27" t="s">
        <v>145</v>
      </c>
      <c r="C234" s="28">
        <v>2400000</v>
      </c>
      <c r="D234" s="28">
        <v>2400000</v>
      </c>
      <c r="E234" s="28"/>
      <c r="F234" s="28"/>
      <c r="G234" s="28"/>
      <c r="H234" s="28">
        <v>25000000</v>
      </c>
      <c r="I234" s="28">
        <f t="shared" si="56"/>
        <v>22600000</v>
      </c>
      <c r="J234" s="28"/>
      <c r="K234" s="28">
        <v>7500000</v>
      </c>
    </row>
    <row r="235" spans="1:11" s="8" customFormat="1">
      <c r="A235" s="27" t="s">
        <v>118</v>
      </c>
      <c r="B235" s="27" t="s">
        <v>119</v>
      </c>
      <c r="C235" s="28">
        <v>10000</v>
      </c>
      <c r="D235" s="28">
        <v>10000</v>
      </c>
      <c r="E235" s="29">
        <v>27617.07</v>
      </c>
      <c r="F235" s="41">
        <v>0</v>
      </c>
      <c r="G235" s="28"/>
      <c r="H235" s="41">
        <v>38500000</v>
      </c>
      <c r="I235" s="28">
        <f t="shared" si="56"/>
        <v>38490000</v>
      </c>
      <c r="J235" s="28">
        <v>500000</v>
      </c>
      <c r="K235" s="28">
        <v>500000</v>
      </c>
    </row>
    <row r="236" spans="1:11" s="8" customFormat="1">
      <c r="A236" s="27" t="s">
        <v>120</v>
      </c>
      <c r="B236" s="27" t="s">
        <v>121</v>
      </c>
      <c r="C236" s="28">
        <v>14500000</v>
      </c>
      <c r="D236" s="28">
        <v>14500000</v>
      </c>
      <c r="E236" s="29">
        <v>442968.75</v>
      </c>
      <c r="F236" s="28">
        <v>14500000</v>
      </c>
      <c r="G236" s="28"/>
      <c r="H236" s="28">
        <v>1500000</v>
      </c>
      <c r="I236" s="28">
        <f t="shared" si="56"/>
        <v>-13000000</v>
      </c>
      <c r="J236" s="28">
        <v>14150000</v>
      </c>
      <c r="K236" s="28">
        <v>14150000</v>
      </c>
    </row>
    <row r="237" spans="1:11" s="8" customFormat="1">
      <c r="A237" s="27" t="s">
        <v>122</v>
      </c>
      <c r="B237" s="27" t="s">
        <v>123</v>
      </c>
      <c r="C237" s="28">
        <v>11475000</v>
      </c>
      <c r="D237" s="28">
        <v>11475000</v>
      </c>
      <c r="E237" s="29">
        <v>1049151.56</v>
      </c>
      <c r="F237" s="41">
        <v>0</v>
      </c>
      <c r="G237" s="28"/>
      <c r="H237" s="41">
        <v>53625000</v>
      </c>
      <c r="I237" s="28">
        <f t="shared" si="56"/>
        <v>42150000</v>
      </c>
      <c r="J237" s="28">
        <v>60946000</v>
      </c>
      <c r="K237" s="28">
        <v>40516000</v>
      </c>
    </row>
    <row r="238" spans="1:11" s="8" customFormat="1">
      <c r="A238" s="27" t="s">
        <v>186</v>
      </c>
      <c r="B238" s="27" t="s">
        <v>187</v>
      </c>
      <c r="C238" s="28"/>
      <c r="D238" s="28"/>
      <c r="E238" s="29">
        <v>99750</v>
      </c>
      <c r="F238" s="28"/>
      <c r="G238" s="28"/>
      <c r="H238" s="28"/>
      <c r="I238" s="28">
        <f t="shared" si="56"/>
        <v>0</v>
      </c>
      <c r="J238" s="28"/>
      <c r="K238" s="28"/>
    </row>
    <row r="239" spans="1:11" s="8" customFormat="1">
      <c r="A239" s="27" t="s">
        <v>124</v>
      </c>
      <c r="B239" s="27" t="s">
        <v>125</v>
      </c>
      <c r="C239" s="28">
        <v>13675000</v>
      </c>
      <c r="D239" s="28">
        <v>13675000</v>
      </c>
      <c r="E239" s="28"/>
      <c r="F239" s="41">
        <v>0</v>
      </c>
      <c r="G239" s="28"/>
      <c r="H239" s="41">
        <v>3000000</v>
      </c>
      <c r="I239" s="28">
        <f t="shared" si="56"/>
        <v>-10675000</v>
      </c>
      <c r="J239" s="28">
        <v>3000000</v>
      </c>
      <c r="K239" s="28">
        <v>3000000</v>
      </c>
    </row>
    <row r="240" spans="1:11" s="8" customFormat="1">
      <c r="A240" s="27" t="s">
        <v>160</v>
      </c>
      <c r="B240" s="27" t="s">
        <v>161</v>
      </c>
      <c r="C240" s="28">
        <v>10515000</v>
      </c>
      <c r="D240" s="28">
        <v>10515000</v>
      </c>
      <c r="E240" s="28"/>
      <c r="F240" s="28">
        <v>8400000</v>
      </c>
      <c r="G240" s="28"/>
      <c r="H240" s="28">
        <v>7000000</v>
      </c>
      <c r="I240" s="28">
        <f t="shared" si="56"/>
        <v>-3515000</v>
      </c>
      <c r="J240" s="28">
        <v>4000000</v>
      </c>
      <c r="K240" s="28">
        <v>4000000</v>
      </c>
    </row>
    <row r="241" spans="1:11" s="8" customFormat="1">
      <c r="A241" s="27" t="s">
        <v>208</v>
      </c>
      <c r="B241" s="27" t="s">
        <v>209</v>
      </c>
      <c r="C241" s="41">
        <v>0</v>
      </c>
      <c r="D241" s="41">
        <v>0</v>
      </c>
      <c r="E241" s="28"/>
      <c r="F241" s="41">
        <v>0</v>
      </c>
      <c r="G241" s="28">
        <v>5044000</v>
      </c>
      <c r="H241" s="41"/>
      <c r="I241" s="28">
        <f t="shared" si="56"/>
        <v>0</v>
      </c>
      <c r="J241" s="28"/>
      <c r="K241" s="28">
        <v>21000000</v>
      </c>
    </row>
    <row r="242" spans="1:11" s="8" customFormat="1">
      <c r="A242" s="27" t="s">
        <v>188</v>
      </c>
      <c r="B242" s="27" t="s">
        <v>189</v>
      </c>
      <c r="C242" s="41">
        <v>0</v>
      </c>
      <c r="D242" s="41">
        <v>0</v>
      </c>
      <c r="E242" s="29">
        <v>249795</v>
      </c>
      <c r="F242" s="41">
        <v>0</v>
      </c>
      <c r="G242" s="28"/>
      <c r="H242" s="41">
        <v>15000000</v>
      </c>
      <c r="I242" s="28">
        <f t="shared" si="56"/>
        <v>15000000</v>
      </c>
      <c r="J242" s="28">
        <v>10000000</v>
      </c>
      <c r="K242" s="28">
        <v>10000000</v>
      </c>
    </row>
    <row r="243" spans="1:11" s="8" customFormat="1">
      <c r="A243" s="30" t="s">
        <v>134</v>
      </c>
      <c r="B243" s="31" t="s">
        <v>135</v>
      </c>
      <c r="C243" s="40">
        <f>SUM(C244)</f>
        <v>0</v>
      </c>
      <c r="D243" s="40">
        <f t="shared" ref="D243:K243" si="63">SUM(D244)</f>
        <v>0</v>
      </c>
      <c r="E243" s="40">
        <f t="shared" si="63"/>
        <v>61899.040000000001</v>
      </c>
      <c r="F243" s="40">
        <f t="shared" si="63"/>
        <v>0</v>
      </c>
      <c r="G243" s="40">
        <f t="shared" si="63"/>
        <v>0</v>
      </c>
      <c r="H243" s="40">
        <f t="shared" si="63"/>
        <v>6000000</v>
      </c>
      <c r="I243" s="40">
        <f t="shared" si="63"/>
        <v>6000000</v>
      </c>
      <c r="J243" s="40">
        <f t="shared" si="63"/>
        <v>0</v>
      </c>
      <c r="K243" s="40">
        <f t="shared" si="63"/>
        <v>0</v>
      </c>
    </row>
    <row r="244" spans="1:11" s="8" customFormat="1">
      <c r="A244" s="27" t="s">
        <v>137</v>
      </c>
      <c r="B244" s="27" t="s">
        <v>136</v>
      </c>
      <c r="C244" s="41">
        <v>0</v>
      </c>
      <c r="D244" s="41">
        <v>0</v>
      </c>
      <c r="E244" s="29">
        <v>61899.040000000001</v>
      </c>
      <c r="F244" s="41">
        <v>0</v>
      </c>
      <c r="G244" s="28"/>
      <c r="H244" s="41">
        <v>6000000</v>
      </c>
      <c r="I244" s="28">
        <f t="shared" si="56"/>
        <v>6000000</v>
      </c>
      <c r="J244" s="28"/>
      <c r="K244" s="28"/>
    </row>
    <row r="245" spans="1:11" s="19" customFormat="1" ht="20.399999999999999">
      <c r="A245" s="91" t="s">
        <v>210</v>
      </c>
      <c r="B245" s="92" t="s">
        <v>211</v>
      </c>
      <c r="C245" s="15">
        <f>SUM(C246)</f>
        <v>6332000</v>
      </c>
      <c r="D245" s="15">
        <f t="shared" ref="D245:K245" si="64">SUM(D246)</f>
        <v>6332000</v>
      </c>
      <c r="E245" s="15">
        <f t="shared" si="64"/>
        <v>451373.58</v>
      </c>
      <c r="F245" s="15">
        <f t="shared" si="64"/>
        <v>61000</v>
      </c>
      <c r="G245" s="15">
        <f t="shared" si="64"/>
        <v>0</v>
      </c>
      <c r="H245" s="15">
        <f t="shared" si="64"/>
        <v>1282000</v>
      </c>
      <c r="I245" s="15">
        <f t="shared" si="64"/>
        <v>-5050000</v>
      </c>
      <c r="J245" s="15">
        <f t="shared" si="64"/>
        <v>0</v>
      </c>
      <c r="K245" s="15">
        <f t="shared" si="64"/>
        <v>0</v>
      </c>
    </row>
    <row r="246" spans="1:11" s="8" customFormat="1">
      <c r="A246" s="67" t="s">
        <v>307</v>
      </c>
      <c r="B246" s="67" t="s">
        <v>320</v>
      </c>
      <c r="C246" s="124">
        <f t="shared" ref="C246:K246" si="65">SUM(C247,C249,C253)</f>
        <v>6332000</v>
      </c>
      <c r="D246" s="124">
        <f t="shared" si="65"/>
        <v>6332000</v>
      </c>
      <c r="E246" s="125">
        <f t="shared" si="65"/>
        <v>451373.58</v>
      </c>
      <c r="F246" s="124">
        <f t="shared" si="65"/>
        <v>61000</v>
      </c>
      <c r="G246" s="124">
        <f t="shared" si="65"/>
        <v>0</v>
      </c>
      <c r="H246" s="124">
        <f t="shared" si="65"/>
        <v>1282000</v>
      </c>
      <c r="I246" s="124">
        <f t="shared" si="65"/>
        <v>-5050000</v>
      </c>
      <c r="J246" s="124">
        <f t="shared" si="65"/>
        <v>0</v>
      </c>
      <c r="K246" s="124">
        <f t="shared" si="65"/>
        <v>0</v>
      </c>
    </row>
    <row r="247" spans="1:11" s="8" customFormat="1">
      <c r="A247" s="30" t="s">
        <v>27</v>
      </c>
      <c r="B247" s="31" t="s">
        <v>28</v>
      </c>
      <c r="C247" s="33">
        <f>SUM(C248)</f>
        <v>90000</v>
      </c>
      <c r="D247" s="33">
        <f t="shared" ref="D247:K247" si="66">SUM(D248)</f>
        <v>90000</v>
      </c>
      <c r="E247" s="33">
        <f t="shared" si="66"/>
        <v>27567.79</v>
      </c>
      <c r="F247" s="33">
        <f t="shared" si="66"/>
        <v>45000</v>
      </c>
      <c r="G247" s="33">
        <f t="shared" si="66"/>
        <v>0</v>
      </c>
      <c r="H247" s="33">
        <f t="shared" si="66"/>
        <v>60000</v>
      </c>
      <c r="I247" s="33">
        <f t="shared" si="66"/>
        <v>-30000</v>
      </c>
      <c r="J247" s="33">
        <f t="shared" si="66"/>
        <v>0</v>
      </c>
      <c r="K247" s="33">
        <f t="shared" si="66"/>
        <v>0</v>
      </c>
    </row>
    <row r="248" spans="1:11" s="8" customFormat="1">
      <c r="A248" s="27" t="s">
        <v>29</v>
      </c>
      <c r="B248" s="27" t="s">
        <v>30</v>
      </c>
      <c r="C248" s="28">
        <v>90000</v>
      </c>
      <c r="D248" s="28">
        <v>90000</v>
      </c>
      <c r="E248" s="29">
        <v>27567.79</v>
      </c>
      <c r="F248" s="28">
        <v>45000</v>
      </c>
      <c r="G248" s="28"/>
      <c r="H248" s="28">
        <v>60000</v>
      </c>
      <c r="I248" s="28">
        <f t="shared" si="56"/>
        <v>-30000</v>
      </c>
      <c r="J248" s="28"/>
      <c r="K248" s="28"/>
    </row>
    <row r="249" spans="1:11" s="8" customFormat="1">
      <c r="A249" s="30" t="s">
        <v>39</v>
      </c>
      <c r="B249" s="31" t="s">
        <v>40</v>
      </c>
      <c r="C249" s="33">
        <f t="shared" ref="C249:K249" si="67">SUM(C250:C252)</f>
        <v>6042000</v>
      </c>
      <c r="D249" s="33">
        <f t="shared" si="67"/>
        <v>6042000</v>
      </c>
      <c r="E249" s="33">
        <f t="shared" si="67"/>
        <v>231439.9</v>
      </c>
      <c r="F249" s="33">
        <f t="shared" si="67"/>
        <v>16000</v>
      </c>
      <c r="G249" s="33">
        <f t="shared" si="67"/>
        <v>0</v>
      </c>
      <c r="H249" s="33">
        <f t="shared" si="67"/>
        <v>1222000</v>
      </c>
      <c r="I249" s="33">
        <f t="shared" si="67"/>
        <v>-4820000</v>
      </c>
      <c r="J249" s="33">
        <f t="shared" si="67"/>
        <v>0</v>
      </c>
      <c r="K249" s="33">
        <f t="shared" si="67"/>
        <v>0</v>
      </c>
    </row>
    <row r="250" spans="1:11" s="8" customFormat="1">
      <c r="A250" s="27" t="s">
        <v>49</v>
      </c>
      <c r="B250" s="27" t="s">
        <v>50</v>
      </c>
      <c r="C250" s="28">
        <v>6000000</v>
      </c>
      <c r="D250" s="28">
        <v>6000000</v>
      </c>
      <c r="E250" s="29">
        <v>223380</v>
      </c>
      <c r="F250" s="28"/>
      <c r="G250" s="28"/>
      <c r="H250" s="28">
        <v>1200000</v>
      </c>
      <c r="I250" s="28">
        <f t="shared" si="56"/>
        <v>-4800000</v>
      </c>
      <c r="J250" s="28"/>
      <c r="K250" s="28"/>
    </row>
    <row r="251" spans="1:11" s="8" customFormat="1">
      <c r="A251" s="27" t="s">
        <v>73</v>
      </c>
      <c r="B251" s="27" t="s">
        <v>74</v>
      </c>
      <c r="C251" s="28">
        <v>30000</v>
      </c>
      <c r="D251" s="28">
        <v>30000</v>
      </c>
      <c r="E251" s="29">
        <v>8059.9</v>
      </c>
      <c r="F251" s="28">
        <v>12000</v>
      </c>
      <c r="G251" s="28"/>
      <c r="H251" s="28">
        <v>10000</v>
      </c>
      <c r="I251" s="28">
        <f t="shared" si="56"/>
        <v>-20000</v>
      </c>
      <c r="J251" s="28"/>
      <c r="K251" s="28"/>
    </row>
    <row r="252" spans="1:11" s="8" customFormat="1">
      <c r="A252" s="27" t="s">
        <v>82</v>
      </c>
      <c r="B252" s="27" t="s">
        <v>83</v>
      </c>
      <c r="C252" s="28">
        <v>12000</v>
      </c>
      <c r="D252" s="28">
        <v>12000</v>
      </c>
      <c r="E252" s="28"/>
      <c r="F252" s="28">
        <v>4000</v>
      </c>
      <c r="G252" s="28"/>
      <c r="H252" s="28">
        <v>12000</v>
      </c>
      <c r="I252" s="28">
        <f t="shared" si="56"/>
        <v>0</v>
      </c>
      <c r="J252" s="28"/>
      <c r="K252" s="28"/>
    </row>
    <row r="253" spans="1:11" s="8" customFormat="1">
      <c r="A253" s="30" t="s">
        <v>134</v>
      </c>
      <c r="B253" s="31" t="s">
        <v>135</v>
      </c>
      <c r="C253" s="33">
        <f>SUM(C254)</f>
        <v>200000</v>
      </c>
      <c r="D253" s="33">
        <f t="shared" ref="D253:K253" si="68">SUM(D254)</f>
        <v>200000</v>
      </c>
      <c r="E253" s="33">
        <f t="shared" si="68"/>
        <v>192365.89</v>
      </c>
      <c r="F253" s="33">
        <f t="shared" si="68"/>
        <v>0</v>
      </c>
      <c r="G253" s="33">
        <f t="shared" si="68"/>
        <v>0</v>
      </c>
      <c r="H253" s="33">
        <f t="shared" si="68"/>
        <v>0</v>
      </c>
      <c r="I253" s="33">
        <f t="shared" si="68"/>
        <v>-200000</v>
      </c>
      <c r="J253" s="33">
        <f t="shared" si="68"/>
        <v>0</v>
      </c>
      <c r="K253" s="33">
        <f t="shared" si="68"/>
        <v>0</v>
      </c>
    </row>
    <row r="254" spans="1:11" s="8" customFormat="1">
      <c r="A254" s="27" t="s">
        <v>137</v>
      </c>
      <c r="B254" s="27" t="s">
        <v>136</v>
      </c>
      <c r="C254" s="28">
        <v>200000</v>
      </c>
      <c r="D254" s="28">
        <v>200000</v>
      </c>
      <c r="E254" s="29">
        <v>192365.89</v>
      </c>
      <c r="F254" s="28"/>
      <c r="G254" s="28"/>
      <c r="H254" s="28"/>
      <c r="I254" s="28">
        <f t="shared" si="56"/>
        <v>-200000</v>
      </c>
      <c r="J254" s="28"/>
      <c r="K254" s="28"/>
    </row>
    <row r="255" spans="1:11" s="19" customFormat="1" ht="20.399999999999999">
      <c r="A255" s="91" t="s">
        <v>212</v>
      </c>
      <c r="B255" s="92" t="s">
        <v>213</v>
      </c>
      <c r="C255" s="15">
        <f>SUM(C256)</f>
        <v>2265500</v>
      </c>
      <c r="D255" s="15">
        <f t="shared" ref="D255:K255" si="69">SUM(D256)</f>
        <v>2265500</v>
      </c>
      <c r="E255" s="15">
        <f t="shared" si="69"/>
        <v>1477052.68</v>
      </c>
      <c r="F255" s="15">
        <f t="shared" si="69"/>
        <v>12553000</v>
      </c>
      <c r="G255" s="15">
        <f t="shared" si="69"/>
        <v>65000</v>
      </c>
      <c r="H255" s="15">
        <f t="shared" si="69"/>
        <v>14810000</v>
      </c>
      <c r="I255" s="15">
        <f t="shared" si="69"/>
        <v>12544500</v>
      </c>
      <c r="J255" s="15">
        <f t="shared" si="69"/>
        <v>0</v>
      </c>
      <c r="K255" s="15">
        <f t="shared" si="69"/>
        <v>0</v>
      </c>
    </row>
    <row r="256" spans="1:11" s="8" customFormat="1">
      <c r="A256" s="67" t="s">
        <v>307</v>
      </c>
      <c r="B256" s="67" t="s">
        <v>320</v>
      </c>
      <c r="C256" s="124">
        <f t="shared" ref="C256:K256" si="70">SUM(C257,C259,C265)</f>
        <v>2265500</v>
      </c>
      <c r="D256" s="124">
        <f t="shared" si="70"/>
        <v>2265500</v>
      </c>
      <c r="E256" s="124">
        <f t="shared" si="70"/>
        <v>1477052.68</v>
      </c>
      <c r="F256" s="124">
        <f t="shared" si="70"/>
        <v>12553000</v>
      </c>
      <c r="G256" s="124">
        <f t="shared" si="70"/>
        <v>65000</v>
      </c>
      <c r="H256" s="124">
        <f t="shared" si="70"/>
        <v>14810000</v>
      </c>
      <c r="I256" s="124">
        <f t="shared" si="70"/>
        <v>12544500</v>
      </c>
      <c r="J256" s="124">
        <f t="shared" si="70"/>
        <v>0</v>
      </c>
      <c r="K256" s="124">
        <f t="shared" si="70"/>
        <v>0</v>
      </c>
    </row>
    <row r="257" spans="1:11" s="8" customFormat="1">
      <c r="A257" s="30" t="s">
        <v>27</v>
      </c>
      <c r="B257" s="31" t="s">
        <v>28</v>
      </c>
      <c r="C257" s="33">
        <f>SUM(C258)</f>
        <v>48000</v>
      </c>
      <c r="D257" s="33">
        <f t="shared" ref="D257:K257" si="71">SUM(D258)</f>
        <v>48000</v>
      </c>
      <c r="E257" s="33">
        <f t="shared" si="71"/>
        <v>13538.08</v>
      </c>
      <c r="F257" s="33">
        <f t="shared" si="71"/>
        <v>48000</v>
      </c>
      <c r="G257" s="33">
        <f t="shared" si="71"/>
        <v>65000</v>
      </c>
      <c r="H257" s="33">
        <f t="shared" si="71"/>
        <v>65000</v>
      </c>
      <c r="I257" s="33">
        <f t="shared" si="71"/>
        <v>17000</v>
      </c>
      <c r="J257" s="33">
        <f t="shared" si="71"/>
        <v>0</v>
      </c>
      <c r="K257" s="33">
        <f t="shared" si="71"/>
        <v>0</v>
      </c>
    </row>
    <row r="258" spans="1:11" s="8" customFormat="1">
      <c r="A258" s="27" t="s">
        <v>29</v>
      </c>
      <c r="B258" s="27" t="s">
        <v>30</v>
      </c>
      <c r="C258" s="28">
        <v>48000</v>
      </c>
      <c r="D258" s="28">
        <v>48000</v>
      </c>
      <c r="E258" s="29">
        <v>13538.08</v>
      </c>
      <c r="F258" s="28">
        <v>48000</v>
      </c>
      <c r="G258" s="28">
        <v>65000</v>
      </c>
      <c r="H258" s="28">
        <v>65000</v>
      </c>
      <c r="I258" s="28">
        <f t="shared" si="56"/>
        <v>17000</v>
      </c>
      <c r="J258" s="28"/>
      <c r="K258" s="28"/>
    </row>
    <row r="259" spans="1:11" s="8" customFormat="1">
      <c r="A259" s="30" t="s">
        <v>39</v>
      </c>
      <c r="B259" s="31" t="s">
        <v>40</v>
      </c>
      <c r="C259" s="33">
        <f t="shared" ref="C259:K259" si="72">SUM(C260:C264)</f>
        <v>583000</v>
      </c>
      <c r="D259" s="33">
        <f t="shared" si="72"/>
        <v>583000</v>
      </c>
      <c r="E259" s="33">
        <f t="shared" si="72"/>
        <v>46111.08</v>
      </c>
      <c r="F259" s="33">
        <f t="shared" si="72"/>
        <v>650000</v>
      </c>
      <c r="G259" s="33">
        <f t="shared" si="72"/>
        <v>0</v>
      </c>
      <c r="H259" s="33">
        <f t="shared" si="72"/>
        <v>804000</v>
      </c>
      <c r="I259" s="33">
        <f t="shared" si="72"/>
        <v>221000</v>
      </c>
      <c r="J259" s="33">
        <f t="shared" si="72"/>
        <v>0</v>
      </c>
      <c r="K259" s="33">
        <f t="shared" si="72"/>
        <v>0</v>
      </c>
    </row>
    <row r="260" spans="1:11" s="8" customFormat="1">
      <c r="A260" s="27" t="s">
        <v>51</v>
      </c>
      <c r="B260" s="27" t="s">
        <v>52</v>
      </c>
      <c r="C260" s="28">
        <v>503000</v>
      </c>
      <c r="D260" s="28">
        <v>503000</v>
      </c>
      <c r="E260" s="28"/>
      <c r="F260" s="28">
        <v>500000</v>
      </c>
      <c r="G260" s="28"/>
      <c r="H260" s="28">
        <v>504000</v>
      </c>
      <c r="I260" s="28">
        <f t="shared" si="56"/>
        <v>1000</v>
      </c>
      <c r="J260" s="28"/>
      <c r="K260" s="28"/>
    </row>
    <row r="261" spans="1:11" s="8" customFormat="1">
      <c r="A261" s="27" t="s">
        <v>57</v>
      </c>
      <c r="B261" s="27" t="s">
        <v>58</v>
      </c>
      <c r="C261" s="28"/>
      <c r="D261" s="28"/>
      <c r="E261" s="29">
        <v>44130</v>
      </c>
      <c r="F261" s="28"/>
      <c r="G261" s="28"/>
      <c r="H261" s="28"/>
      <c r="I261" s="28">
        <f t="shared" si="56"/>
        <v>0</v>
      </c>
      <c r="J261" s="28"/>
      <c r="K261" s="28"/>
    </row>
    <row r="262" spans="1:11" s="8" customFormat="1">
      <c r="A262" s="27" t="s">
        <v>75</v>
      </c>
      <c r="B262" s="27" t="s">
        <v>76</v>
      </c>
      <c r="C262" s="28">
        <v>80000</v>
      </c>
      <c r="D262" s="28">
        <v>80000</v>
      </c>
      <c r="E262" s="29">
        <v>1981.08</v>
      </c>
      <c r="F262" s="28">
        <v>150000</v>
      </c>
      <c r="G262" s="28"/>
      <c r="H262" s="28">
        <v>210000</v>
      </c>
      <c r="I262" s="28">
        <f t="shared" si="56"/>
        <v>130000</v>
      </c>
      <c r="J262" s="28"/>
      <c r="K262" s="28"/>
    </row>
    <row r="263" spans="1:11" s="8" customFormat="1">
      <c r="A263" s="27" t="s">
        <v>82</v>
      </c>
      <c r="B263" s="27" t="s">
        <v>83</v>
      </c>
      <c r="C263" s="28"/>
      <c r="D263" s="28"/>
      <c r="E263" s="29"/>
      <c r="F263" s="28"/>
      <c r="G263" s="28"/>
      <c r="H263" s="28">
        <v>70000</v>
      </c>
      <c r="I263" s="28">
        <f t="shared" si="56"/>
        <v>70000</v>
      </c>
      <c r="J263" s="28"/>
      <c r="K263" s="28"/>
    </row>
    <row r="264" spans="1:11" s="8" customFormat="1">
      <c r="A264" s="27" t="s">
        <v>84</v>
      </c>
      <c r="B264" s="27" t="s">
        <v>85</v>
      </c>
      <c r="C264" s="28"/>
      <c r="D264" s="28"/>
      <c r="E264" s="29"/>
      <c r="F264" s="28"/>
      <c r="G264" s="28"/>
      <c r="H264" s="28">
        <v>20000</v>
      </c>
      <c r="I264" s="28">
        <f t="shared" si="56"/>
        <v>20000</v>
      </c>
      <c r="J264" s="28"/>
      <c r="K264" s="28"/>
    </row>
    <row r="265" spans="1:11" s="8" customFormat="1">
      <c r="A265" s="30" t="s">
        <v>116</v>
      </c>
      <c r="B265" s="31" t="s">
        <v>117</v>
      </c>
      <c r="C265" s="33">
        <f>SUM(C266:C268)</f>
        <v>1634500</v>
      </c>
      <c r="D265" s="33">
        <f t="shared" ref="D265:K265" si="73">SUM(D266:D268)</f>
        <v>1634500</v>
      </c>
      <c r="E265" s="33">
        <f t="shared" si="73"/>
        <v>1417403.52</v>
      </c>
      <c r="F265" s="33">
        <f t="shared" si="73"/>
        <v>11855000</v>
      </c>
      <c r="G265" s="33">
        <f t="shared" si="73"/>
        <v>0</v>
      </c>
      <c r="H265" s="33">
        <f>SUM(H266:H268)</f>
        <v>13941000</v>
      </c>
      <c r="I265" s="33">
        <f t="shared" si="73"/>
        <v>12306500</v>
      </c>
      <c r="J265" s="33">
        <f t="shared" si="73"/>
        <v>0</v>
      </c>
      <c r="K265" s="33">
        <f t="shared" si="73"/>
        <v>0</v>
      </c>
    </row>
    <row r="266" spans="1:11" s="8" customFormat="1">
      <c r="A266" s="27" t="s">
        <v>122</v>
      </c>
      <c r="B266" s="27" t="s">
        <v>123</v>
      </c>
      <c r="C266" s="28">
        <v>426500</v>
      </c>
      <c r="D266" s="28">
        <v>426500</v>
      </c>
      <c r="E266" s="28"/>
      <c r="F266" s="28"/>
      <c r="G266" s="28"/>
      <c r="H266" s="28">
        <v>426000</v>
      </c>
      <c r="I266" s="28">
        <f t="shared" si="56"/>
        <v>-500</v>
      </c>
      <c r="J266" s="28"/>
      <c r="K266" s="28"/>
    </row>
    <row r="267" spans="1:11" s="8" customFormat="1">
      <c r="A267" s="27" t="s">
        <v>124</v>
      </c>
      <c r="B267" s="27" t="s">
        <v>125</v>
      </c>
      <c r="C267" s="28">
        <v>968000</v>
      </c>
      <c r="D267" s="28">
        <v>968000</v>
      </c>
      <c r="E267" s="29">
        <v>1417403.52</v>
      </c>
      <c r="F267" s="28">
        <v>11000000</v>
      </c>
      <c r="G267" s="28"/>
      <c r="H267" s="28">
        <v>10947000</v>
      </c>
      <c r="I267" s="28">
        <f t="shared" si="56"/>
        <v>9979000</v>
      </c>
      <c r="J267" s="28"/>
      <c r="K267" s="28"/>
    </row>
    <row r="268" spans="1:11" s="8" customFormat="1">
      <c r="A268" s="27" t="s">
        <v>160</v>
      </c>
      <c r="B268" s="27" t="s">
        <v>161</v>
      </c>
      <c r="C268" s="28">
        <v>240000</v>
      </c>
      <c r="D268" s="28">
        <v>240000</v>
      </c>
      <c r="E268" s="28"/>
      <c r="F268" s="28">
        <v>855000</v>
      </c>
      <c r="G268" s="28"/>
      <c r="H268" s="28">
        <v>2568000</v>
      </c>
      <c r="I268" s="28">
        <f t="shared" si="56"/>
        <v>2328000</v>
      </c>
      <c r="J268" s="28"/>
      <c r="K268" s="28"/>
    </row>
    <row r="269" spans="1:11" s="19" customFormat="1" ht="20.399999999999999">
      <c r="A269" s="91" t="s">
        <v>214</v>
      </c>
      <c r="B269" s="92" t="s">
        <v>215</v>
      </c>
      <c r="C269" s="15">
        <f>SUM(C270)</f>
        <v>14683950</v>
      </c>
      <c r="D269" s="15">
        <f t="shared" ref="D269:K271" si="74">SUM(D270)</f>
        <v>14683950</v>
      </c>
      <c r="E269" s="15">
        <f t="shared" si="74"/>
        <v>92212.27</v>
      </c>
      <c r="F269" s="15">
        <f t="shared" si="74"/>
        <v>6828513</v>
      </c>
      <c r="G269" s="15">
        <f t="shared" si="74"/>
        <v>0</v>
      </c>
      <c r="H269" s="15">
        <f t="shared" si="74"/>
        <v>49502000</v>
      </c>
      <c r="I269" s="15">
        <f t="shared" si="74"/>
        <v>34818050</v>
      </c>
      <c r="J269" s="15">
        <f t="shared" si="74"/>
        <v>0</v>
      </c>
      <c r="K269" s="15">
        <f t="shared" si="74"/>
        <v>0</v>
      </c>
    </row>
    <row r="270" spans="1:11" s="8" customFormat="1">
      <c r="A270" s="67" t="s">
        <v>307</v>
      </c>
      <c r="B270" s="67" t="s">
        <v>320</v>
      </c>
      <c r="C270" s="124">
        <f>SUM(C271,C273,C278,C281)</f>
        <v>14683950</v>
      </c>
      <c r="D270" s="124">
        <f t="shared" ref="D270:K270" si="75">SUM(D271,D273,D278,D281)</f>
        <v>14683950</v>
      </c>
      <c r="E270" s="124">
        <f t="shared" si="75"/>
        <v>92212.27</v>
      </c>
      <c r="F270" s="124">
        <f t="shared" si="75"/>
        <v>6828513</v>
      </c>
      <c r="G270" s="124">
        <f t="shared" si="75"/>
        <v>0</v>
      </c>
      <c r="H270" s="124">
        <f t="shared" si="75"/>
        <v>49502000</v>
      </c>
      <c r="I270" s="124">
        <f t="shared" si="75"/>
        <v>34818050</v>
      </c>
      <c r="J270" s="124">
        <f t="shared" si="75"/>
        <v>0</v>
      </c>
      <c r="K270" s="124">
        <f t="shared" si="75"/>
        <v>0</v>
      </c>
    </row>
    <row r="271" spans="1:11" s="8" customFormat="1">
      <c r="A271" s="30" t="s">
        <v>27</v>
      </c>
      <c r="B271" s="31" t="s">
        <v>28</v>
      </c>
      <c r="C271" s="33">
        <f>SUM(C272)</f>
        <v>125000</v>
      </c>
      <c r="D271" s="33">
        <f t="shared" si="74"/>
        <v>125000</v>
      </c>
      <c r="E271" s="33">
        <f t="shared" si="74"/>
        <v>26186.13</v>
      </c>
      <c r="F271" s="33">
        <f t="shared" si="74"/>
        <v>125000</v>
      </c>
      <c r="G271" s="33">
        <f t="shared" si="74"/>
        <v>0</v>
      </c>
      <c r="H271" s="33">
        <f t="shared" si="74"/>
        <v>70000</v>
      </c>
      <c r="I271" s="33">
        <f t="shared" si="74"/>
        <v>-55000</v>
      </c>
      <c r="J271" s="33">
        <f t="shared" si="74"/>
        <v>0</v>
      </c>
      <c r="K271" s="33">
        <f t="shared" si="74"/>
        <v>0</v>
      </c>
    </row>
    <row r="272" spans="1:11" s="8" customFormat="1">
      <c r="A272" s="27" t="s">
        <v>29</v>
      </c>
      <c r="B272" s="27" t="s">
        <v>30</v>
      </c>
      <c r="C272" s="28">
        <v>125000</v>
      </c>
      <c r="D272" s="28">
        <v>125000</v>
      </c>
      <c r="E272" s="29">
        <v>26186.13</v>
      </c>
      <c r="F272" s="28">
        <v>125000</v>
      </c>
      <c r="G272" s="28"/>
      <c r="H272" s="28">
        <v>70000</v>
      </c>
      <c r="I272" s="28">
        <f t="shared" si="56"/>
        <v>-55000</v>
      </c>
      <c r="J272" s="28"/>
      <c r="K272" s="28"/>
    </row>
    <row r="273" spans="1:11" s="8" customFormat="1">
      <c r="A273" s="30" t="s">
        <v>39</v>
      </c>
      <c r="B273" s="31" t="s">
        <v>40</v>
      </c>
      <c r="C273" s="33">
        <f>SUM(C274:C277)</f>
        <v>7282950</v>
      </c>
      <c r="D273" s="33">
        <f t="shared" ref="D273:K273" si="76">SUM(D274:D277)</f>
        <v>7282950</v>
      </c>
      <c r="E273" s="33">
        <f t="shared" si="76"/>
        <v>66026.14</v>
      </c>
      <c r="F273" s="33">
        <f t="shared" si="76"/>
        <v>6703513</v>
      </c>
      <c r="G273" s="33">
        <f t="shared" si="76"/>
        <v>0</v>
      </c>
      <c r="H273" s="33">
        <f t="shared" si="76"/>
        <v>40160000</v>
      </c>
      <c r="I273" s="33">
        <f t="shared" si="76"/>
        <v>32877050</v>
      </c>
      <c r="J273" s="33">
        <f t="shared" si="76"/>
        <v>0</v>
      </c>
      <c r="K273" s="33">
        <f t="shared" si="76"/>
        <v>0</v>
      </c>
    </row>
    <row r="274" spans="1:11" s="8" customFormat="1">
      <c r="A274" s="27" t="s">
        <v>49</v>
      </c>
      <c r="B274" s="27" t="s">
        <v>50</v>
      </c>
      <c r="C274" s="28">
        <v>7040950</v>
      </c>
      <c r="D274" s="28">
        <v>7040950</v>
      </c>
      <c r="E274" s="28"/>
      <c r="F274" s="28">
        <v>6483513</v>
      </c>
      <c r="G274" s="28"/>
      <c r="H274" s="28">
        <v>40000000</v>
      </c>
      <c r="I274" s="28">
        <f t="shared" si="56"/>
        <v>32959050</v>
      </c>
      <c r="J274" s="28"/>
      <c r="K274" s="28"/>
    </row>
    <row r="275" spans="1:11" s="8" customFormat="1">
      <c r="A275" s="27" t="s">
        <v>65</v>
      </c>
      <c r="B275" s="27" t="s">
        <v>66</v>
      </c>
      <c r="C275" s="28">
        <v>10000</v>
      </c>
      <c r="D275" s="28">
        <v>10000</v>
      </c>
      <c r="E275" s="28"/>
      <c r="F275" s="28"/>
      <c r="G275" s="28"/>
      <c r="H275" s="28"/>
      <c r="I275" s="28">
        <f t="shared" si="56"/>
        <v>-10000</v>
      </c>
      <c r="J275" s="28"/>
      <c r="K275" s="28"/>
    </row>
    <row r="276" spans="1:11" s="8" customFormat="1">
      <c r="A276" s="27" t="s">
        <v>73</v>
      </c>
      <c r="B276" s="27" t="s">
        <v>74</v>
      </c>
      <c r="C276" s="28">
        <v>200000</v>
      </c>
      <c r="D276" s="28">
        <v>200000</v>
      </c>
      <c r="E276" s="29">
        <v>66026.14</v>
      </c>
      <c r="F276" s="28">
        <v>200000</v>
      </c>
      <c r="G276" s="28"/>
      <c r="H276" s="28">
        <v>84000</v>
      </c>
      <c r="I276" s="28">
        <f t="shared" si="56"/>
        <v>-116000</v>
      </c>
      <c r="J276" s="28"/>
      <c r="K276" s="28"/>
    </row>
    <row r="277" spans="1:11" s="8" customFormat="1">
      <c r="A277" s="27" t="s">
        <v>82</v>
      </c>
      <c r="B277" s="27" t="s">
        <v>83</v>
      </c>
      <c r="C277" s="28">
        <v>32000</v>
      </c>
      <c r="D277" s="28">
        <v>32000</v>
      </c>
      <c r="E277" s="28"/>
      <c r="F277" s="28">
        <v>20000</v>
      </c>
      <c r="G277" s="28"/>
      <c r="H277" s="28">
        <v>76000</v>
      </c>
      <c r="I277" s="28">
        <f t="shared" si="56"/>
        <v>44000</v>
      </c>
      <c r="J277" s="28"/>
      <c r="K277" s="28"/>
    </row>
    <row r="278" spans="1:11" s="8" customFormat="1">
      <c r="A278" s="30" t="s">
        <v>116</v>
      </c>
      <c r="B278" s="31" t="s">
        <v>117</v>
      </c>
      <c r="C278" s="33">
        <f>SUM(C279:C280)</f>
        <v>6476000</v>
      </c>
      <c r="D278" s="33">
        <f t="shared" ref="D278:K278" si="77">SUM(D279:D280)</f>
        <v>6476000</v>
      </c>
      <c r="E278" s="33">
        <f t="shared" si="77"/>
        <v>0</v>
      </c>
      <c r="F278" s="33">
        <f t="shared" si="77"/>
        <v>0</v>
      </c>
      <c r="G278" s="33">
        <f t="shared" si="77"/>
        <v>0</v>
      </c>
      <c r="H278" s="33">
        <f t="shared" si="77"/>
        <v>8072000</v>
      </c>
      <c r="I278" s="33">
        <f t="shared" si="77"/>
        <v>1596000</v>
      </c>
      <c r="J278" s="33">
        <f t="shared" si="77"/>
        <v>0</v>
      </c>
      <c r="K278" s="33">
        <f t="shared" si="77"/>
        <v>0</v>
      </c>
    </row>
    <row r="279" spans="1:11" s="8" customFormat="1">
      <c r="A279" s="27" t="s">
        <v>118</v>
      </c>
      <c r="B279" s="27" t="s">
        <v>119</v>
      </c>
      <c r="C279" s="28">
        <v>76000</v>
      </c>
      <c r="D279" s="28">
        <v>76000</v>
      </c>
      <c r="E279" s="28"/>
      <c r="F279" s="28"/>
      <c r="G279" s="28"/>
      <c r="H279" s="28">
        <v>72000</v>
      </c>
      <c r="I279" s="28">
        <f t="shared" si="56"/>
        <v>-4000</v>
      </c>
      <c r="J279" s="28"/>
      <c r="K279" s="28"/>
    </row>
    <row r="280" spans="1:11" s="8" customFormat="1">
      <c r="A280" s="27" t="s">
        <v>124</v>
      </c>
      <c r="B280" s="27" t="s">
        <v>125</v>
      </c>
      <c r="C280" s="28">
        <v>6400000</v>
      </c>
      <c r="D280" s="28">
        <v>6400000</v>
      </c>
      <c r="E280" s="28"/>
      <c r="F280" s="28"/>
      <c r="G280" s="28"/>
      <c r="H280" s="28">
        <v>8000000</v>
      </c>
      <c r="I280" s="28">
        <f t="shared" ref="I280:I391" si="78">H280-D280</f>
        <v>1600000</v>
      </c>
      <c r="J280" s="28"/>
      <c r="K280" s="28"/>
    </row>
    <row r="281" spans="1:11" s="8" customFormat="1">
      <c r="A281" s="30" t="s">
        <v>134</v>
      </c>
      <c r="B281" s="31" t="s">
        <v>135</v>
      </c>
      <c r="C281" s="33">
        <f>SUM(C282)</f>
        <v>800000</v>
      </c>
      <c r="D281" s="33">
        <f t="shared" ref="D281:K281" si="79">SUM(D282)</f>
        <v>800000</v>
      </c>
      <c r="E281" s="33">
        <f t="shared" si="79"/>
        <v>0</v>
      </c>
      <c r="F281" s="33">
        <f t="shared" si="79"/>
        <v>0</v>
      </c>
      <c r="G281" s="33">
        <f t="shared" si="79"/>
        <v>0</v>
      </c>
      <c r="H281" s="33">
        <f t="shared" si="79"/>
        <v>1200000</v>
      </c>
      <c r="I281" s="33">
        <f t="shared" si="79"/>
        <v>400000</v>
      </c>
      <c r="J281" s="33">
        <f t="shared" si="79"/>
        <v>0</v>
      </c>
      <c r="K281" s="33">
        <f t="shared" si="79"/>
        <v>0</v>
      </c>
    </row>
    <row r="282" spans="1:11" s="8" customFormat="1">
      <c r="A282" s="27" t="s">
        <v>137</v>
      </c>
      <c r="B282" s="27" t="s">
        <v>136</v>
      </c>
      <c r="C282" s="28">
        <v>800000</v>
      </c>
      <c r="D282" s="28">
        <v>800000</v>
      </c>
      <c r="E282" s="28"/>
      <c r="F282" s="28"/>
      <c r="G282" s="28"/>
      <c r="H282" s="28">
        <v>1200000</v>
      </c>
      <c r="I282" s="28">
        <f t="shared" si="78"/>
        <v>400000</v>
      </c>
      <c r="J282" s="28"/>
      <c r="K282" s="28"/>
    </row>
    <row r="283" spans="1:11" s="19" customFormat="1" ht="20.399999999999999">
      <c r="A283" s="91" t="s">
        <v>216</v>
      </c>
      <c r="B283" s="92" t="s">
        <v>217</v>
      </c>
      <c r="C283" s="15">
        <f>SUM(C284)</f>
        <v>382500</v>
      </c>
      <c r="D283" s="15">
        <f t="shared" ref="D283:K283" si="80">SUM(D284)</f>
        <v>382500</v>
      </c>
      <c r="E283" s="15">
        <f t="shared" si="80"/>
        <v>0</v>
      </c>
      <c r="F283" s="15">
        <f t="shared" si="80"/>
        <v>1998100</v>
      </c>
      <c r="G283" s="15">
        <f t="shared" si="80"/>
        <v>4675000</v>
      </c>
      <c r="H283" s="15">
        <f t="shared" si="80"/>
        <v>2031200</v>
      </c>
      <c r="I283" s="15">
        <f t="shared" si="80"/>
        <v>1186500</v>
      </c>
      <c r="J283" s="15">
        <f t="shared" si="80"/>
        <v>3088800</v>
      </c>
      <c r="K283" s="15">
        <f t="shared" si="80"/>
        <v>5904000</v>
      </c>
    </row>
    <row r="284" spans="1:11" s="8" customFormat="1" ht="20.399999999999999">
      <c r="A284" s="83" t="s">
        <v>311</v>
      </c>
      <c r="B284" s="84" t="s">
        <v>312</v>
      </c>
      <c r="C284" s="85">
        <f>SUM(C285,C288,C298,C305)</f>
        <v>382500</v>
      </c>
      <c r="D284" s="85">
        <f t="shared" ref="D284:K284" si="81">SUM(D285,D288,D298,D305)</f>
        <v>382500</v>
      </c>
      <c r="E284" s="85">
        <f t="shared" si="81"/>
        <v>0</v>
      </c>
      <c r="F284" s="85">
        <f t="shared" si="81"/>
        <v>1998100</v>
      </c>
      <c r="G284" s="85">
        <f t="shared" si="81"/>
        <v>4675000</v>
      </c>
      <c r="H284" s="85">
        <f t="shared" si="81"/>
        <v>2031200</v>
      </c>
      <c r="I284" s="85">
        <f t="shared" si="81"/>
        <v>1186500</v>
      </c>
      <c r="J284" s="85">
        <f t="shared" si="81"/>
        <v>3088800</v>
      </c>
      <c r="K284" s="85">
        <f t="shared" si="81"/>
        <v>5904000</v>
      </c>
    </row>
    <row r="285" spans="1:11" s="8" customFormat="1">
      <c r="A285" s="30" t="s">
        <v>27</v>
      </c>
      <c r="B285" s="31" t="s">
        <v>28</v>
      </c>
      <c r="C285" s="33">
        <f>SUM(C286:C287)</f>
        <v>0</v>
      </c>
      <c r="D285" s="33">
        <f t="shared" ref="D285:K285" si="82">SUM(D286:D287)</f>
        <v>0</v>
      </c>
      <c r="E285" s="33">
        <f t="shared" si="82"/>
        <v>0</v>
      </c>
      <c r="F285" s="33">
        <f t="shared" si="82"/>
        <v>0</v>
      </c>
      <c r="G285" s="33">
        <f t="shared" si="82"/>
        <v>0</v>
      </c>
      <c r="H285" s="33">
        <f t="shared" si="82"/>
        <v>305000</v>
      </c>
      <c r="I285" s="33">
        <f t="shared" si="82"/>
        <v>305000</v>
      </c>
      <c r="J285" s="33">
        <f t="shared" si="82"/>
        <v>295000</v>
      </c>
      <c r="K285" s="33">
        <f t="shared" si="82"/>
        <v>317000</v>
      </c>
    </row>
    <row r="286" spans="1:11" s="8" customFormat="1">
      <c r="A286" s="27" t="s">
        <v>29</v>
      </c>
      <c r="B286" s="27" t="s">
        <v>30</v>
      </c>
      <c r="C286" s="28"/>
      <c r="D286" s="28"/>
      <c r="E286" s="29"/>
      <c r="F286" s="28"/>
      <c r="G286" s="28"/>
      <c r="H286" s="28">
        <v>267000</v>
      </c>
      <c r="I286" s="28">
        <f t="shared" ref="I286:I287" si="83">H286-D286</f>
        <v>267000</v>
      </c>
      <c r="J286" s="28">
        <v>258000</v>
      </c>
      <c r="K286" s="28">
        <v>271000</v>
      </c>
    </row>
    <row r="287" spans="1:11" s="8" customFormat="1">
      <c r="A287" s="27" t="s">
        <v>37</v>
      </c>
      <c r="B287" s="27" t="s">
        <v>278</v>
      </c>
      <c r="C287" s="28"/>
      <c r="D287" s="28"/>
      <c r="E287" s="29"/>
      <c r="F287" s="28"/>
      <c r="G287" s="28"/>
      <c r="H287" s="28">
        <v>38000</v>
      </c>
      <c r="I287" s="28">
        <f t="shared" si="83"/>
        <v>38000</v>
      </c>
      <c r="J287" s="28">
        <v>37000</v>
      </c>
      <c r="K287" s="28">
        <v>46000</v>
      </c>
    </row>
    <row r="288" spans="1:11" s="8" customFormat="1">
      <c r="A288" s="30" t="s">
        <v>39</v>
      </c>
      <c r="B288" s="31" t="s">
        <v>40</v>
      </c>
      <c r="C288" s="33">
        <f>SUM(C289:C297)</f>
        <v>0</v>
      </c>
      <c r="D288" s="33">
        <f t="shared" ref="D288:K288" si="84">SUM(D289:D297)</f>
        <v>0</v>
      </c>
      <c r="E288" s="33">
        <f t="shared" si="84"/>
        <v>0</v>
      </c>
      <c r="F288" s="33">
        <f t="shared" si="84"/>
        <v>0</v>
      </c>
      <c r="G288" s="33">
        <f t="shared" si="84"/>
        <v>0</v>
      </c>
      <c r="H288" s="33">
        <f t="shared" si="84"/>
        <v>890000</v>
      </c>
      <c r="I288" s="33">
        <f t="shared" si="84"/>
        <v>890000</v>
      </c>
      <c r="J288" s="33">
        <f t="shared" si="84"/>
        <v>644000</v>
      </c>
      <c r="K288" s="33">
        <f t="shared" si="84"/>
        <v>736000</v>
      </c>
    </row>
    <row r="289" spans="1:12" s="8" customFormat="1">
      <c r="A289" s="27" t="s">
        <v>41</v>
      </c>
      <c r="B289" s="99" t="s">
        <v>42</v>
      </c>
      <c r="C289" s="100"/>
      <c r="D289" s="100"/>
      <c r="E289" s="100"/>
      <c r="F289" s="100"/>
      <c r="G289" s="100"/>
      <c r="H289" s="100">
        <v>25000</v>
      </c>
      <c r="I289" s="100">
        <f t="shared" ref="I289:I297" si="85">H289-D289</f>
        <v>25000</v>
      </c>
      <c r="J289" s="100">
        <v>24000</v>
      </c>
      <c r="K289" s="100">
        <v>21000</v>
      </c>
    </row>
    <row r="290" spans="1:12" s="8" customFormat="1">
      <c r="A290" s="27" t="s">
        <v>45</v>
      </c>
      <c r="B290" s="99" t="s">
        <v>46</v>
      </c>
      <c r="C290" s="100"/>
      <c r="D290" s="100"/>
      <c r="E290" s="100"/>
      <c r="F290" s="100"/>
      <c r="G290" s="100"/>
      <c r="H290" s="100"/>
      <c r="I290" s="100">
        <f t="shared" si="85"/>
        <v>0</v>
      </c>
      <c r="J290" s="100"/>
      <c r="K290" s="100">
        <v>7000</v>
      </c>
      <c r="L290" s="8">
        <f>507800-394000</f>
        <v>113800</v>
      </c>
    </row>
    <row r="291" spans="1:12" s="8" customFormat="1">
      <c r="A291" s="27" t="s">
        <v>49</v>
      </c>
      <c r="B291" s="27" t="s">
        <v>50</v>
      </c>
      <c r="C291" s="28"/>
      <c r="D291" s="28"/>
      <c r="E291" s="28"/>
      <c r="F291" s="28"/>
      <c r="G291" s="28"/>
      <c r="H291" s="28">
        <v>20000</v>
      </c>
      <c r="I291" s="28">
        <f t="shared" si="85"/>
        <v>20000</v>
      </c>
      <c r="J291" s="28"/>
      <c r="K291" s="28">
        <v>16000</v>
      </c>
    </row>
    <row r="292" spans="1:12" s="8" customFormat="1">
      <c r="A292" s="27" t="s">
        <v>53</v>
      </c>
      <c r="B292" s="27" t="s">
        <v>54</v>
      </c>
      <c r="C292" s="28"/>
      <c r="D292" s="28"/>
      <c r="E292" s="28"/>
      <c r="F292" s="28"/>
      <c r="G292" s="28"/>
      <c r="H292" s="28">
        <v>2000</v>
      </c>
      <c r="I292" s="28">
        <f t="shared" si="85"/>
        <v>2000</v>
      </c>
      <c r="J292" s="28">
        <v>2000</v>
      </c>
      <c r="K292" s="28">
        <v>2000</v>
      </c>
    </row>
    <row r="293" spans="1:12" s="8" customFormat="1">
      <c r="A293" s="27" t="s">
        <v>61</v>
      </c>
      <c r="B293" s="27" t="s">
        <v>62</v>
      </c>
      <c r="C293" s="28"/>
      <c r="D293" s="28"/>
      <c r="E293" s="28"/>
      <c r="F293" s="28"/>
      <c r="G293" s="28"/>
      <c r="H293" s="28">
        <v>4000</v>
      </c>
      <c r="I293" s="28">
        <f t="shared" si="85"/>
        <v>4000</v>
      </c>
      <c r="J293" s="28">
        <v>4000</v>
      </c>
      <c r="K293" s="28">
        <v>4000</v>
      </c>
    </row>
    <row r="294" spans="1:12" s="8" customFormat="1">
      <c r="A294" s="27" t="s">
        <v>65</v>
      </c>
      <c r="B294" s="27" t="s">
        <v>66</v>
      </c>
      <c r="C294" s="28"/>
      <c r="D294" s="28"/>
      <c r="E294" s="29"/>
      <c r="F294" s="28"/>
      <c r="G294" s="28"/>
      <c r="H294" s="28">
        <v>44000</v>
      </c>
      <c r="I294" s="28">
        <f t="shared" si="85"/>
        <v>44000</v>
      </c>
      <c r="J294" s="28">
        <v>6000</v>
      </c>
      <c r="K294" s="28">
        <v>11000</v>
      </c>
    </row>
    <row r="295" spans="1:12" s="8" customFormat="1">
      <c r="A295" s="27" t="s">
        <v>69</v>
      </c>
      <c r="B295" s="27" t="s">
        <v>70</v>
      </c>
      <c r="C295" s="28"/>
      <c r="D295" s="28"/>
      <c r="E295" s="29"/>
      <c r="F295" s="28"/>
      <c r="G295" s="28"/>
      <c r="H295" s="28">
        <v>116000</v>
      </c>
      <c r="I295" s="28">
        <f t="shared" si="85"/>
        <v>116000</v>
      </c>
      <c r="J295" s="28">
        <v>116000</v>
      </c>
      <c r="K295" s="28">
        <v>116000</v>
      </c>
    </row>
    <row r="296" spans="1:12" s="8" customFormat="1">
      <c r="A296" s="27" t="s">
        <v>73</v>
      </c>
      <c r="B296" s="27" t="s">
        <v>74</v>
      </c>
      <c r="C296" s="28"/>
      <c r="D296" s="28"/>
      <c r="E296" s="29"/>
      <c r="F296" s="28"/>
      <c r="G296" s="28"/>
      <c r="H296" s="28">
        <v>174000</v>
      </c>
      <c r="I296" s="28">
        <f t="shared" si="85"/>
        <v>174000</v>
      </c>
      <c r="J296" s="28">
        <v>66000</v>
      </c>
      <c r="K296" s="28">
        <v>104000</v>
      </c>
    </row>
    <row r="297" spans="1:12" s="8" customFormat="1">
      <c r="A297" s="27" t="s">
        <v>75</v>
      </c>
      <c r="B297" s="27" t="s">
        <v>76</v>
      </c>
      <c r="C297" s="28"/>
      <c r="D297" s="28"/>
      <c r="E297" s="29"/>
      <c r="F297" s="28"/>
      <c r="G297" s="28"/>
      <c r="H297" s="28">
        <v>505000</v>
      </c>
      <c r="I297" s="28">
        <f t="shared" si="85"/>
        <v>505000</v>
      </c>
      <c r="J297" s="28">
        <v>426000</v>
      </c>
      <c r="K297" s="28">
        <v>455000</v>
      </c>
    </row>
    <row r="298" spans="1:12" s="8" customFormat="1">
      <c r="A298" s="30" t="s">
        <v>116</v>
      </c>
      <c r="B298" s="31" t="s">
        <v>117</v>
      </c>
      <c r="C298" s="33">
        <f>SUM(C299:C304)</f>
        <v>127500</v>
      </c>
      <c r="D298" s="33">
        <f t="shared" ref="D298:K298" si="86">SUM(D299:D304)</f>
        <v>127500</v>
      </c>
      <c r="E298" s="33">
        <f t="shared" si="86"/>
        <v>0</v>
      </c>
      <c r="F298" s="33">
        <f t="shared" si="86"/>
        <v>1403100</v>
      </c>
      <c r="G298" s="33">
        <f t="shared" si="86"/>
        <v>3825000</v>
      </c>
      <c r="H298" s="33">
        <f t="shared" si="86"/>
        <v>576200</v>
      </c>
      <c r="I298" s="33">
        <f t="shared" si="86"/>
        <v>-13500</v>
      </c>
      <c r="J298" s="33">
        <f t="shared" si="86"/>
        <v>179800</v>
      </c>
      <c r="K298" s="33">
        <f t="shared" si="86"/>
        <v>4243000</v>
      </c>
    </row>
    <row r="299" spans="1:12" s="8" customFormat="1">
      <c r="A299" s="27" t="s">
        <v>118</v>
      </c>
      <c r="B299" s="99" t="s">
        <v>119</v>
      </c>
      <c r="C299" s="100"/>
      <c r="D299" s="100"/>
      <c r="E299" s="100"/>
      <c r="F299" s="100"/>
      <c r="G299" s="100"/>
      <c r="H299" s="22">
        <f>114000</f>
        <v>114000</v>
      </c>
      <c r="I299" s="100">
        <f t="shared" si="78"/>
        <v>114000</v>
      </c>
      <c r="J299" s="100"/>
      <c r="K299" s="100">
        <f>170000-170000</f>
        <v>0</v>
      </c>
    </row>
    <row r="300" spans="1:12" s="8" customFormat="1">
      <c r="A300" s="27" t="s">
        <v>122</v>
      </c>
      <c r="B300" s="99" t="s">
        <v>123</v>
      </c>
      <c r="C300" s="100"/>
      <c r="D300" s="100"/>
      <c r="E300" s="100"/>
      <c r="F300" s="100"/>
      <c r="G300" s="100"/>
      <c r="H300" s="22">
        <v>300000</v>
      </c>
      <c r="I300" s="100"/>
      <c r="J300" s="100"/>
      <c r="K300" s="22">
        <f>102000</f>
        <v>102000</v>
      </c>
    </row>
    <row r="301" spans="1:12" s="8" customFormat="1">
      <c r="A301" s="27" t="s">
        <v>124</v>
      </c>
      <c r="B301" s="27" t="s">
        <v>125</v>
      </c>
      <c r="C301" s="100"/>
      <c r="D301" s="100"/>
      <c r="E301" s="100"/>
      <c r="F301" s="100"/>
      <c r="G301" s="100"/>
      <c r="H301" s="22">
        <f>55000</f>
        <v>55000</v>
      </c>
      <c r="I301" s="100"/>
      <c r="J301" s="100"/>
      <c r="K301" s="22">
        <f>23000</f>
        <v>23000</v>
      </c>
    </row>
    <row r="302" spans="1:12" s="8" customFormat="1">
      <c r="A302" s="27" t="s">
        <v>160</v>
      </c>
      <c r="B302" s="27" t="s">
        <v>161</v>
      </c>
      <c r="C302" s="28">
        <v>42500</v>
      </c>
      <c r="D302" s="28">
        <v>42500</v>
      </c>
      <c r="E302" s="28"/>
      <c r="F302" s="28">
        <v>153000</v>
      </c>
      <c r="G302" s="28"/>
      <c r="H302" s="133">
        <f>201000+193000-394000</f>
        <v>0</v>
      </c>
      <c r="I302" s="28">
        <f t="shared" si="78"/>
        <v>-42500</v>
      </c>
      <c r="J302" s="128">
        <v>17000</v>
      </c>
      <c r="K302" s="28"/>
    </row>
    <row r="303" spans="1:12" s="8" customFormat="1">
      <c r="A303" s="27" t="s">
        <v>208</v>
      </c>
      <c r="B303" s="27" t="s">
        <v>209</v>
      </c>
      <c r="C303" s="28">
        <v>85000</v>
      </c>
      <c r="D303" s="28">
        <v>85000</v>
      </c>
      <c r="E303" s="28"/>
      <c r="F303" s="28">
        <v>1250100</v>
      </c>
      <c r="G303" s="28">
        <v>3825000</v>
      </c>
      <c r="H303" s="133">
        <f>301000-191000-110000</f>
        <v>0</v>
      </c>
      <c r="I303" s="28">
        <f t="shared" si="78"/>
        <v>-85000</v>
      </c>
      <c r="J303" s="133">
        <f>17000+378000-343200</f>
        <v>51800</v>
      </c>
      <c r="K303" s="128">
        <f>102000+3978000</f>
        <v>4080000</v>
      </c>
    </row>
    <row r="304" spans="1:12" s="8" customFormat="1">
      <c r="A304" s="27" t="s">
        <v>188</v>
      </c>
      <c r="B304" s="27" t="s">
        <v>189</v>
      </c>
      <c r="C304" s="28"/>
      <c r="D304" s="28"/>
      <c r="E304" s="28"/>
      <c r="F304" s="28"/>
      <c r="G304" s="28"/>
      <c r="H304" s="133">
        <f>111000-3800</f>
        <v>107200</v>
      </c>
      <c r="I304" s="28"/>
      <c r="J304" s="128">
        <v>111000</v>
      </c>
      <c r="K304" s="128">
        <v>38000</v>
      </c>
    </row>
    <row r="305" spans="1:11" s="8" customFormat="1">
      <c r="A305" s="30" t="s">
        <v>134</v>
      </c>
      <c r="B305" s="31" t="s">
        <v>135</v>
      </c>
      <c r="C305" s="33">
        <f>SUM(C306)</f>
        <v>255000</v>
      </c>
      <c r="D305" s="33">
        <f t="shared" ref="D305:K305" si="87">SUM(D306)</f>
        <v>255000</v>
      </c>
      <c r="E305" s="33">
        <f t="shared" si="87"/>
        <v>0</v>
      </c>
      <c r="F305" s="33">
        <f t="shared" si="87"/>
        <v>595000</v>
      </c>
      <c r="G305" s="33">
        <f t="shared" si="87"/>
        <v>850000</v>
      </c>
      <c r="H305" s="33">
        <f t="shared" si="87"/>
        <v>260000</v>
      </c>
      <c r="I305" s="33">
        <f t="shared" si="87"/>
        <v>5000</v>
      </c>
      <c r="J305" s="33">
        <f t="shared" si="87"/>
        <v>1970000</v>
      </c>
      <c r="K305" s="33">
        <f t="shared" si="87"/>
        <v>608000</v>
      </c>
    </row>
    <row r="306" spans="1:11" s="8" customFormat="1">
      <c r="A306" s="27" t="s">
        <v>137</v>
      </c>
      <c r="B306" s="27" t="s">
        <v>136</v>
      </c>
      <c r="C306" s="28">
        <v>255000</v>
      </c>
      <c r="D306" s="28">
        <v>255000</v>
      </c>
      <c r="E306" s="28"/>
      <c r="F306" s="28">
        <v>595000</v>
      </c>
      <c r="G306" s="28">
        <v>850000</v>
      </c>
      <c r="H306" s="128">
        <v>260000</v>
      </c>
      <c r="I306" s="28">
        <f t="shared" si="78"/>
        <v>5000</v>
      </c>
      <c r="J306" s="128">
        <f>1970000</f>
        <v>1970000</v>
      </c>
      <c r="K306" s="128">
        <f>608000</f>
        <v>608000</v>
      </c>
    </row>
    <row r="307" spans="1:11" s="8" customFormat="1" ht="26.4">
      <c r="A307" s="91" t="s">
        <v>271</v>
      </c>
      <c r="B307" s="98" t="s">
        <v>272</v>
      </c>
      <c r="C307" s="15">
        <f>SUM(C308)</f>
        <v>0</v>
      </c>
      <c r="D307" s="15">
        <f t="shared" ref="D307:K307" si="88">SUM(D308)</f>
        <v>0</v>
      </c>
      <c r="E307" s="15">
        <f t="shared" si="88"/>
        <v>0</v>
      </c>
      <c r="F307" s="15">
        <f t="shared" si="88"/>
        <v>0</v>
      </c>
      <c r="G307" s="15">
        <f t="shared" si="88"/>
        <v>0</v>
      </c>
      <c r="H307" s="15">
        <f t="shared" si="88"/>
        <v>30723600</v>
      </c>
      <c r="I307" s="15">
        <f t="shared" si="88"/>
        <v>29873600</v>
      </c>
      <c r="J307" s="15">
        <f t="shared" si="88"/>
        <v>31963500</v>
      </c>
      <c r="K307" s="15">
        <f t="shared" si="88"/>
        <v>8695000</v>
      </c>
    </row>
    <row r="308" spans="1:11" s="8" customFormat="1" ht="20.399999999999999">
      <c r="A308" s="83" t="s">
        <v>311</v>
      </c>
      <c r="B308" s="84" t="s">
        <v>312</v>
      </c>
      <c r="C308" s="85">
        <f>SUM(C309,C321,C323,C325,)</f>
        <v>0</v>
      </c>
      <c r="D308" s="85">
        <f t="shared" ref="D308:K308" si="89">SUM(D309,D321,D323,D325,)</f>
        <v>0</v>
      </c>
      <c r="E308" s="85">
        <f t="shared" si="89"/>
        <v>0</v>
      </c>
      <c r="F308" s="85">
        <f t="shared" si="89"/>
        <v>0</v>
      </c>
      <c r="G308" s="85">
        <f t="shared" si="89"/>
        <v>0</v>
      </c>
      <c r="H308" s="85">
        <f>SUM(H309,H321,H323,H325,H336)</f>
        <v>30723600</v>
      </c>
      <c r="I308" s="85">
        <f t="shared" si="89"/>
        <v>29873600</v>
      </c>
      <c r="J308" s="85">
        <f t="shared" si="89"/>
        <v>31963500</v>
      </c>
      <c r="K308" s="85">
        <f t="shared" si="89"/>
        <v>8695000</v>
      </c>
    </row>
    <row r="309" spans="1:11" s="8" customFormat="1">
      <c r="A309" s="30" t="s">
        <v>39</v>
      </c>
      <c r="B309" s="31" t="s">
        <v>40</v>
      </c>
      <c r="C309" s="33">
        <f>SUM(C310:C320)</f>
        <v>0</v>
      </c>
      <c r="D309" s="33">
        <f t="shared" ref="D309:H309" si="90">SUM(D310:D320)</f>
        <v>0</v>
      </c>
      <c r="E309" s="33">
        <f t="shared" si="90"/>
        <v>0</v>
      </c>
      <c r="F309" s="33">
        <f t="shared" si="90"/>
        <v>0</v>
      </c>
      <c r="G309" s="33">
        <f t="shared" si="90"/>
        <v>0</v>
      </c>
      <c r="H309" s="33">
        <f t="shared" si="90"/>
        <v>9913000</v>
      </c>
      <c r="I309" s="33">
        <f>SUM(I310:I320)</f>
        <v>9913000</v>
      </c>
      <c r="J309" s="33">
        <f t="shared" ref="J309:K309" si="91">SUM(J310:J320)</f>
        <v>973000</v>
      </c>
      <c r="K309" s="33">
        <f t="shared" si="91"/>
        <v>384000</v>
      </c>
    </row>
    <row r="310" spans="1:11" s="8" customFormat="1">
      <c r="A310" s="27" t="s">
        <v>29</v>
      </c>
      <c r="B310" s="99" t="s">
        <v>30</v>
      </c>
      <c r="C310" s="100"/>
      <c r="D310" s="100"/>
      <c r="E310" s="100"/>
      <c r="F310" s="100"/>
      <c r="G310" s="100"/>
      <c r="H310" s="100">
        <v>160000</v>
      </c>
      <c r="I310" s="100">
        <f>H310-D310</f>
        <v>160000</v>
      </c>
      <c r="J310" s="100">
        <f>85000+97000</f>
        <v>182000</v>
      </c>
      <c r="K310" s="100">
        <f>85000+49000</f>
        <v>134000</v>
      </c>
    </row>
    <row r="311" spans="1:11" s="8" customFormat="1">
      <c r="A311" s="27" t="s">
        <v>41</v>
      </c>
      <c r="B311" s="99" t="s">
        <v>42</v>
      </c>
      <c r="C311" s="100"/>
      <c r="D311" s="100"/>
      <c r="E311" s="100"/>
      <c r="F311" s="100"/>
      <c r="G311" s="100"/>
      <c r="H311" s="100">
        <v>7500</v>
      </c>
      <c r="I311" s="100">
        <f t="shared" ref="I311:I320" si="92">H311-D311</f>
        <v>7500</v>
      </c>
      <c r="J311" s="100">
        <f>13000+140000</f>
        <v>153000</v>
      </c>
      <c r="K311" s="100">
        <f>8000</f>
        <v>8000</v>
      </c>
    </row>
    <row r="312" spans="1:11" s="8" customFormat="1">
      <c r="A312" s="27" t="s">
        <v>49</v>
      </c>
      <c r="B312" s="99" t="s">
        <v>50</v>
      </c>
      <c r="C312" s="100"/>
      <c r="D312" s="100"/>
      <c r="E312" s="100"/>
      <c r="F312" s="100"/>
      <c r="G312" s="100"/>
      <c r="H312" s="100">
        <v>66500</v>
      </c>
      <c r="I312" s="100">
        <f t="shared" si="92"/>
        <v>66500</v>
      </c>
      <c r="J312" s="100"/>
      <c r="K312" s="100"/>
    </row>
    <row r="313" spans="1:11" s="8" customFormat="1">
      <c r="A313" s="27" t="s">
        <v>51</v>
      </c>
      <c r="B313" s="99" t="s">
        <v>52</v>
      </c>
      <c r="C313" s="100"/>
      <c r="D313" s="100"/>
      <c r="E313" s="100"/>
      <c r="F313" s="100"/>
      <c r="G313" s="100"/>
      <c r="H313" s="100">
        <v>60000</v>
      </c>
      <c r="I313" s="100">
        <f t="shared" si="92"/>
        <v>60000</v>
      </c>
      <c r="J313" s="100"/>
      <c r="K313" s="100"/>
    </row>
    <row r="314" spans="1:11" s="8" customFormat="1">
      <c r="A314" s="27" t="s">
        <v>57</v>
      </c>
      <c r="B314" s="99" t="s">
        <v>58</v>
      </c>
      <c r="C314" s="100"/>
      <c r="D314" s="100"/>
      <c r="E314" s="100"/>
      <c r="F314" s="100"/>
      <c r="G314" s="100"/>
      <c r="H314" s="100">
        <v>1060000</v>
      </c>
      <c r="I314" s="100">
        <f t="shared" si="92"/>
        <v>1060000</v>
      </c>
      <c r="J314" s="100">
        <v>9000</v>
      </c>
      <c r="K314" s="100"/>
    </row>
    <row r="315" spans="1:11" s="8" customFormat="1">
      <c r="A315" s="27" t="s">
        <v>59</v>
      </c>
      <c r="B315" s="99" t="s">
        <v>60</v>
      </c>
      <c r="C315" s="100"/>
      <c r="D315" s="100"/>
      <c r="E315" s="100"/>
      <c r="F315" s="100"/>
      <c r="G315" s="100"/>
      <c r="H315" s="100">
        <v>8160000</v>
      </c>
      <c r="I315" s="100">
        <f t="shared" si="92"/>
        <v>8160000</v>
      </c>
      <c r="J315" s="100">
        <f>247000</f>
        <v>247000</v>
      </c>
      <c r="K315" s="100"/>
    </row>
    <row r="316" spans="1:11" s="8" customFormat="1">
      <c r="A316" s="27" t="s">
        <v>65</v>
      </c>
      <c r="B316" s="99" t="s">
        <v>66</v>
      </c>
      <c r="C316" s="100"/>
      <c r="D316" s="100"/>
      <c r="E316" s="100"/>
      <c r="F316" s="100"/>
      <c r="G316" s="100"/>
      <c r="H316" s="100">
        <v>85500</v>
      </c>
      <c r="I316" s="100">
        <f t="shared" si="92"/>
        <v>85500</v>
      </c>
      <c r="J316" s="100">
        <f>2000+9000+4000</f>
        <v>15000</v>
      </c>
      <c r="K316" s="100">
        <f>2000</f>
        <v>2000</v>
      </c>
    </row>
    <row r="317" spans="1:11" s="8" customFormat="1">
      <c r="A317" s="27" t="s">
        <v>69</v>
      </c>
      <c r="B317" s="99" t="s">
        <v>70</v>
      </c>
      <c r="C317" s="100"/>
      <c r="D317" s="100"/>
      <c r="E317" s="100"/>
      <c r="F317" s="100"/>
      <c r="G317" s="100"/>
      <c r="H317" s="100">
        <v>3000</v>
      </c>
      <c r="I317" s="100">
        <f t="shared" si="92"/>
        <v>3000</v>
      </c>
      <c r="J317" s="100">
        <v>2000</v>
      </c>
      <c r="K317" s="100"/>
    </row>
    <row r="318" spans="1:11" s="8" customFormat="1">
      <c r="A318" s="27" t="s">
        <v>73</v>
      </c>
      <c r="B318" s="99" t="s">
        <v>74</v>
      </c>
      <c r="C318" s="100"/>
      <c r="D318" s="100"/>
      <c r="E318" s="100"/>
      <c r="F318" s="100"/>
      <c r="G318" s="100"/>
      <c r="H318" s="100">
        <v>276500</v>
      </c>
      <c r="I318" s="100">
        <f t="shared" si="92"/>
        <v>276500</v>
      </c>
      <c r="J318" s="100">
        <f>255000+17000+88000</f>
        <v>360000</v>
      </c>
      <c r="K318" s="100">
        <f>170000+59000</f>
        <v>229000</v>
      </c>
    </row>
    <row r="319" spans="1:11" s="8" customFormat="1">
      <c r="A319" s="27" t="s">
        <v>75</v>
      </c>
      <c r="B319" s="27" t="s">
        <v>76</v>
      </c>
      <c r="C319" s="28"/>
      <c r="D319" s="28"/>
      <c r="E319" s="28"/>
      <c r="F319" s="28"/>
      <c r="G319" s="28"/>
      <c r="H319" s="28">
        <v>34000</v>
      </c>
      <c r="I319" s="28">
        <f t="shared" si="92"/>
        <v>34000</v>
      </c>
      <c r="J319" s="28">
        <f>2000+2000</f>
        <v>4000</v>
      </c>
      <c r="K319" s="28">
        <f>11000</f>
        <v>11000</v>
      </c>
    </row>
    <row r="320" spans="1:11" s="8" customFormat="1">
      <c r="A320" s="27" t="s">
        <v>84</v>
      </c>
      <c r="B320" s="27" t="s">
        <v>85</v>
      </c>
      <c r="C320" s="28"/>
      <c r="D320" s="28"/>
      <c r="E320" s="28"/>
      <c r="F320" s="28"/>
      <c r="G320" s="28"/>
      <c r="H320" s="28"/>
      <c r="I320" s="28">
        <f t="shared" si="92"/>
        <v>0</v>
      </c>
      <c r="J320" s="28">
        <v>1000</v>
      </c>
      <c r="K320" s="28"/>
    </row>
    <row r="321" spans="1:11" s="8" customFormat="1">
      <c r="A321" s="30" t="s">
        <v>273</v>
      </c>
      <c r="B321" s="31" t="s">
        <v>94</v>
      </c>
      <c r="C321" s="33">
        <f>SUM(C322)</f>
        <v>0</v>
      </c>
      <c r="D321" s="33">
        <f t="shared" ref="D321:K321" si="93">SUM(D322)</f>
        <v>0</v>
      </c>
      <c r="E321" s="33">
        <f t="shared" si="93"/>
        <v>0</v>
      </c>
      <c r="F321" s="33">
        <f t="shared" si="93"/>
        <v>0</v>
      </c>
      <c r="G321" s="33">
        <f t="shared" si="93"/>
        <v>0</v>
      </c>
      <c r="H321" s="33">
        <f t="shared" si="93"/>
        <v>0</v>
      </c>
      <c r="I321" s="33">
        <f t="shared" si="93"/>
        <v>0</v>
      </c>
      <c r="J321" s="33">
        <f t="shared" si="93"/>
        <v>0</v>
      </c>
      <c r="K321" s="33">
        <f t="shared" si="93"/>
        <v>0</v>
      </c>
    </row>
    <row r="322" spans="1:11" s="8" customFormat="1">
      <c r="A322" s="27" t="s">
        <v>99</v>
      </c>
      <c r="B322" s="27" t="s">
        <v>100</v>
      </c>
      <c r="C322" s="28"/>
      <c r="D322" s="28"/>
      <c r="E322" s="28"/>
      <c r="F322" s="28"/>
      <c r="G322" s="28"/>
      <c r="H322" s="28"/>
      <c r="I322" s="28">
        <f t="shared" ref="I322" si="94">H322-D322</f>
        <v>0</v>
      </c>
      <c r="J322" s="28"/>
      <c r="K322" s="28"/>
    </row>
    <row r="323" spans="1:11" s="8" customFormat="1" ht="20.399999999999999">
      <c r="A323" s="30" t="s">
        <v>276</v>
      </c>
      <c r="B323" s="31" t="s">
        <v>20</v>
      </c>
      <c r="C323" s="33">
        <f>SUM(C324)</f>
        <v>0</v>
      </c>
      <c r="D323" s="33">
        <f t="shared" ref="D323:K323" si="95">SUM(D324)</f>
        <v>0</v>
      </c>
      <c r="E323" s="33">
        <f t="shared" si="95"/>
        <v>0</v>
      </c>
      <c r="F323" s="33">
        <f t="shared" si="95"/>
        <v>0</v>
      </c>
      <c r="G323" s="33">
        <f t="shared" si="95"/>
        <v>0</v>
      </c>
      <c r="H323" s="33">
        <f t="shared" si="95"/>
        <v>1612000</v>
      </c>
      <c r="I323" s="33">
        <f t="shared" si="95"/>
        <v>1612000</v>
      </c>
      <c r="J323" s="33">
        <f t="shared" si="95"/>
        <v>818000</v>
      </c>
      <c r="K323" s="33">
        <f t="shared" si="95"/>
        <v>40000</v>
      </c>
    </row>
    <row r="324" spans="1:11" s="8" customFormat="1">
      <c r="A324" s="27">
        <v>3823</v>
      </c>
      <c r="B324" s="27" t="s">
        <v>277</v>
      </c>
      <c r="C324" s="28"/>
      <c r="D324" s="28"/>
      <c r="E324" s="29"/>
      <c r="F324" s="28"/>
      <c r="G324" s="28"/>
      <c r="H324" s="114">
        <v>1612000</v>
      </c>
      <c r="I324" s="28">
        <f t="shared" ref="I324" si="96">H324-D324</f>
        <v>1612000</v>
      </c>
      <c r="J324" s="28">
        <v>818000</v>
      </c>
      <c r="K324" s="28">
        <v>40000</v>
      </c>
    </row>
    <row r="325" spans="1:11" s="8" customFormat="1">
      <c r="A325" s="30" t="s">
        <v>274</v>
      </c>
      <c r="B325" s="31" t="s">
        <v>117</v>
      </c>
      <c r="C325" s="33">
        <f>SUM(C326:C335)</f>
        <v>0</v>
      </c>
      <c r="D325" s="33">
        <f t="shared" ref="D325:K325" si="97">SUM(D326:D335)</f>
        <v>0</v>
      </c>
      <c r="E325" s="33">
        <f t="shared" si="97"/>
        <v>0</v>
      </c>
      <c r="F325" s="33">
        <f t="shared" si="97"/>
        <v>0</v>
      </c>
      <c r="G325" s="33">
        <f t="shared" si="97"/>
        <v>0</v>
      </c>
      <c r="H325" s="33">
        <f t="shared" si="97"/>
        <v>18348600</v>
      </c>
      <c r="I325" s="33">
        <f t="shared" si="97"/>
        <v>18348600</v>
      </c>
      <c r="J325" s="33">
        <f t="shared" si="97"/>
        <v>30172500</v>
      </c>
      <c r="K325" s="33">
        <f t="shared" si="97"/>
        <v>8271000</v>
      </c>
    </row>
    <row r="326" spans="1:11" s="8" customFormat="1">
      <c r="A326" s="27" t="s">
        <v>154</v>
      </c>
      <c r="B326" s="99" t="s">
        <v>155</v>
      </c>
      <c r="C326" s="100"/>
      <c r="D326" s="100"/>
      <c r="E326" s="100"/>
      <c r="F326" s="100"/>
      <c r="G326" s="100"/>
      <c r="H326" s="134">
        <f>8500000-7680900</f>
        <v>819100</v>
      </c>
      <c r="I326" s="100">
        <f t="shared" ref="I326:I335" si="98">H326-D326</f>
        <v>819100</v>
      </c>
      <c r="J326" s="134">
        <f>8531000-3551500</f>
        <v>4979500</v>
      </c>
      <c r="K326" s="100">
        <f>5270000</f>
        <v>5270000</v>
      </c>
    </row>
    <row r="327" spans="1:11" s="8" customFormat="1">
      <c r="A327" s="27" t="s">
        <v>118</v>
      </c>
      <c r="B327" s="27" t="s">
        <v>119</v>
      </c>
      <c r="C327" s="28"/>
      <c r="D327" s="28"/>
      <c r="E327" s="28"/>
      <c r="F327" s="28"/>
      <c r="G327" s="28"/>
      <c r="H327" s="28">
        <f>129000</f>
        <v>129000</v>
      </c>
      <c r="I327" s="28">
        <f t="shared" si="98"/>
        <v>129000</v>
      </c>
      <c r="J327" s="28">
        <f>17000</f>
        <v>17000</v>
      </c>
      <c r="K327" s="28">
        <f>765000</f>
        <v>765000</v>
      </c>
    </row>
    <row r="328" spans="1:11" s="8" customFormat="1">
      <c r="A328" s="27" t="s">
        <v>120</v>
      </c>
      <c r="B328" s="27" t="s">
        <v>121</v>
      </c>
      <c r="C328" s="28"/>
      <c r="D328" s="28"/>
      <c r="E328" s="28"/>
      <c r="F328" s="28"/>
      <c r="G328" s="28"/>
      <c r="H328" s="28">
        <f>1836000</f>
        <v>1836000</v>
      </c>
      <c r="I328" s="28">
        <f t="shared" si="98"/>
        <v>1836000</v>
      </c>
      <c r="J328" s="28">
        <f>425000</f>
        <v>425000</v>
      </c>
      <c r="K328" s="28"/>
    </row>
    <row r="329" spans="1:11" s="8" customFormat="1">
      <c r="A329" s="27" t="s">
        <v>122</v>
      </c>
      <c r="B329" s="27" t="s">
        <v>123</v>
      </c>
      <c r="C329" s="28"/>
      <c r="D329" s="28"/>
      <c r="E329" s="28"/>
      <c r="F329" s="28"/>
      <c r="G329" s="28"/>
      <c r="H329" s="28">
        <v>1623500</v>
      </c>
      <c r="I329" s="28">
        <f t="shared" si="98"/>
        <v>1623500</v>
      </c>
      <c r="J329" s="28">
        <f>54000</f>
        <v>54000</v>
      </c>
      <c r="K329" s="28"/>
    </row>
    <row r="330" spans="1:11" s="8" customFormat="1">
      <c r="A330" s="27" t="s">
        <v>226</v>
      </c>
      <c r="B330" s="27" t="s">
        <v>227</v>
      </c>
      <c r="C330" s="28"/>
      <c r="D330" s="28"/>
      <c r="E330" s="28"/>
      <c r="F330" s="28"/>
      <c r="G330" s="28"/>
      <c r="H330" s="28">
        <f>79000</f>
        <v>79000</v>
      </c>
      <c r="I330" s="28">
        <f t="shared" si="98"/>
        <v>79000</v>
      </c>
      <c r="J330" s="28"/>
      <c r="K330" s="28"/>
    </row>
    <row r="331" spans="1:11" s="8" customFormat="1">
      <c r="A331" s="27" t="s">
        <v>186</v>
      </c>
      <c r="B331" s="27" t="s">
        <v>187</v>
      </c>
      <c r="C331" s="28"/>
      <c r="D331" s="28"/>
      <c r="E331" s="28"/>
      <c r="F331" s="28"/>
      <c r="G331" s="28"/>
      <c r="H331" s="28">
        <v>650000</v>
      </c>
      <c r="I331" s="28">
        <f t="shared" si="98"/>
        <v>650000</v>
      </c>
      <c r="J331" s="28"/>
      <c r="K331" s="28"/>
    </row>
    <row r="332" spans="1:11" s="8" customFormat="1">
      <c r="A332" s="27" t="s">
        <v>124</v>
      </c>
      <c r="B332" s="27" t="s">
        <v>125</v>
      </c>
      <c r="C332" s="28"/>
      <c r="D332" s="28"/>
      <c r="E332" s="28"/>
      <c r="F332" s="28"/>
      <c r="G332" s="28"/>
      <c r="H332" s="28">
        <v>3582000</v>
      </c>
      <c r="I332" s="28">
        <f t="shared" si="98"/>
        <v>3582000</v>
      </c>
      <c r="J332" s="28">
        <f>1258000+2206000</f>
        <v>3464000</v>
      </c>
      <c r="K332" s="28">
        <f>765000+1471000</f>
        <v>2236000</v>
      </c>
    </row>
    <row r="333" spans="1:11" s="8" customFormat="1">
      <c r="A333" s="27" t="s">
        <v>160</v>
      </c>
      <c r="B333" s="27" t="s">
        <v>161</v>
      </c>
      <c r="C333" s="28"/>
      <c r="D333" s="28"/>
      <c r="E333" s="28"/>
      <c r="F333" s="28"/>
      <c r="G333" s="28"/>
      <c r="H333" s="28">
        <f>2550000+400000</f>
        <v>2950000</v>
      </c>
      <c r="I333" s="28">
        <f t="shared" si="98"/>
        <v>2950000</v>
      </c>
      <c r="J333" s="28">
        <f>1190000</f>
        <v>1190000</v>
      </c>
      <c r="K333" s="28"/>
    </row>
    <row r="334" spans="1:11" s="8" customFormat="1">
      <c r="A334" s="27" t="s">
        <v>208</v>
      </c>
      <c r="B334" s="27" t="s">
        <v>209</v>
      </c>
      <c r="C334" s="28"/>
      <c r="D334" s="28"/>
      <c r="E334" s="28"/>
      <c r="F334" s="28"/>
      <c r="G334" s="28"/>
      <c r="H334" s="28">
        <f>680000</f>
        <v>680000</v>
      </c>
      <c r="I334" s="28">
        <f t="shared" si="98"/>
        <v>680000</v>
      </c>
      <c r="J334" s="28">
        <f>43000</f>
        <v>43000</v>
      </c>
      <c r="K334" s="28"/>
    </row>
    <row r="335" spans="1:11" s="8" customFormat="1">
      <c r="A335" s="27" t="s">
        <v>198</v>
      </c>
      <c r="B335" s="27" t="s">
        <v>199</v>
      </c>
      <c r="C335" s="28"/>
      <c r="D335" s="28"/>
      <c r="E335" s="28"/>
      <c r="F335" s="28"/>
      <c r="G335" s="28"/>
      <c r="H335" s="114">
        <v>6000000</v>
      </c>
      <c r="I335" s="28">
        <f t="shared" si="98"/>
        <v>6000000</v>
      </c>
      <c r="J335" s="114">
        <v>20000000</v>
      </c>
      <c r="K335" s="28"/>
    </row>
    <row r="336" spans="1:11" s="8" customFormat="1">
      <c r="A336" s="30" t="s">
        <v>134</v>
      </c>
      <c r="B336" s="31" t="s">
        <v>135</v>
      </c>
      <c r="C336" s="33">
        <f>SUM(C337)</f>
        <v>0</v>
      </c>
      <c r="D336" s="33">
        <f t="shared" ref="D336:K336" si="99">SUM(D337)</f>
        <v>0</v>
      </c>
      <c r="E336" s="33">
        <f t="shared" si="99"/>
        <v>0</v>
      </c>
      <c r="F336" s="33">
        <f t="shared" si="99"/>
        <v>0</v>
      </c>
      <c r="G336" s="33">
        <f t="shared" si="99"/>
        <v>0</v>
      </c>
      <c r="H336" s="33">
        <f t="shared" si="99"/>
        <v>850000</v>
      </c>
      <c r="I336" s="33">
        <f t="shared" si="99"/>
        <v>850000</v>
      </c>
      <c r="J336" s="33">
        <f t="shared" si="99"/>
        <v>0</v>
      </c>
      <c r="K336" s="33">
        <f t="shared" si="99"/>
        <v>0</v>
      </c>
    </row>
    <row r="337" spans="1:11" s="8" customFormat="1">
      <c r="A337" s="27" t="s">
        <v>137</v>
      </c>
      <c r="B337" s="27" t="s">
        <v>136</v>
      </c>
      <c r="C337" s="28"/>
      <c r="D337" s="28"/>
      <c r="E337" s="28"/>
      <c r="F337" s="28"/>
      <c r="G337" s="28"/>
      <c r="H337" s="114">
        <v>850000</v>
      </c>
      <c r="I337" s="28">
        <f t="shared" ref="I337" si="100">H337-D337</f>
        <v>850000</v>
      </c>
      <c r="J337" s="28"/>
      <c r="K337" s="28"/>
    </row>
    <row r="338" spans="1:11" s="12" customFormat="1" ht="20.399999999999999">
      <c r="A338" s="89" t="s">
        <v>218</v>
      </c>
      <c r="B338" s="90" t="s">
        <v>219</v>
      </c>
      <c r="C338" s="11">
        <f>SUM(C339,C349)</f>
        <v>1099000</v>
      </c>
      <c r="D338" s="11">
        <f t="shared" ref="D338:K338" si="101">SUM(D339,D349)</f>
        <v>16699000</v>
      </c>
      <c r="E338" s="11">
        <f t="shared" si="101"/>
        <v>3599286.37</v>
      </c>
      <c r="F338" s="11">
        <f t="shared" si="101"/>
        <v>0</v>
      </c>
      <c r="G338" s="11">
        <f t="shared" si="101"/>
        <v>0</v>
      </c>
      <c r="H338" s="11">
        <f t="shared" si="101"/>
        <v>4590000</v>
      </c>
      <c r="I338" s="11">
        <f t="shared" si="101"/>
        <v>-12109000</v>
      </c>
      <c r="J338" s="11">
        <f t="shared" si="101"/>
        <v>0</v>
      </c>
      <c r="K338" s="11">
        <f t="shared" si="101"/>
        <v>0</v>
      </c>
    </row>
    <row r="339" spans="1:11" s="8" customFormat="1" ht="30.6">
      <c r="A339" s="80" t="s">
        <v>317</v>
      </c>
      <c r="B339" s="81" t="s">
        <v>318</v>
      </c>
      <c r="C339" s="82">
        <f>SUM(C340,C345,C347)</f>
        <v>1099000</v>
      </c>
      <c r="D339" s="82">
        <f t="shared" ref="D339:K339" si="102">SUM(D340,D345,D347)</f>
        <v>1099000</v>
      </c>
      <c r="E339" s="82">
        <f t="shared" si="102"/>
        <v>210787.23</v>
      </c>
      <c r="F339" s="82">
        <f t="shared" si="102"/>
        <v>0</v>
      </c>
      <c r="G339" s="82">
        <f t="shared" si="102"/>
        <v>0</v>
      </c>
      <c r="H339" s="82">
        <f t="shared" si="102"/>
        <v>4590000</v>
      </c>
      <c r="I339" s="82">
        <f t="shared" si="102"/>
        <v>3491000</v>
      </c>
      <c r="J339" s="82">
        <f t="shared" si="102"/>
        <v>0</v>
      </c>
      <c r="K339" s="82">
        <f t="shared" si="102"/>
        <v>0</v>
      </c>
    </row>
    <row r="340" spans="1:11" s="8" customFormat="1">
      <c r="A340" s="30" t="s">
        <v>39</v>
      </c>
      <c r="B340" s="31" t="s">
        <v>40</v>
      </c>
      <c r="C340" s="33">
        <f>SUM(C341:C344)</f>
        <v>790000</v>
      </c>
      <c r="D340" s="33">
        <f t="shared" ref="D340:K340" si="103">SUM(D341:D344)</f>
        <v>790000</v>
      </c>
      <c r="E340" s="33">
        <f t="shared" si="103"/>
        <v>154963.48000000001</v>
      </c>
      <c r="F340" s="33">
        <f t="shared" si="103"/>
        <v>0</v>
      </c>
      <c r="G340" s="33">
        <f t="shared" si="103"/>
        <v>0</v>
      </c>
      <c r="H340" s="33">
        <f t="shared" si="103"/>
        <v>0</v>
      </c>
      <c r="I340" s="33">
        <f t="shared" si="103"/>
        <v>-790000</v>
      </c>
      <c r="J340" s="33">
        <f t="shared" si="103"/>
        <v>0</v>
      </c>
      <c r="K340" s="33">
        <f t="shared" si="103"/>
        <v>0</v>
      </c>
    </row>
    <row r="341" spans="1:11" s="8" customFormat="1">
      <c r="A341" s="27" t="s">
        <v>41</v>
      </c>
      <c r="B341" s="27" t="s">
        <v>42</v>
      </c>
      <c r="C341" s="28"/>
      <c r="D341" s="28"/>
      <c r="E341" s="29">
        <v>5713.48</v>
      </c>
      <c r="F341" s="28"/>
      <c r="G341" s="28"/>
      <c r="H341" s="28"/>
      <c r="I341" s="28">
        <f t="shared" si="78"/>
        <v>0</v>
      </c>
      <c r="J341" s="28"/>
      <c r="K341" s="28"/>
    </row>
    <row r="342" spans="1:11" s="8" customFormat="1">
      <c r="A342" s="27" t="s">
        <v>45</v>
      </c>
      <c r="B342" s="27" t="s">
        <v>46</v>
      </c>
      <c r="C342" s="28">
        <v>100000</v>
      </c>
      <c r="D342" s="28">
        <v>100000</v>
      </c>
      <c r="E342" s="28"/>
      <c r="F342" s="28"/>
      <c r="G342" s="28"/>
      <c r="H342" s="28"/>
      <c r="I342" s="28">
        <f t="shared" si="78"/>
        <v>-100000</v>
      </c>
      <c r="J342" s="28"/>
      <c r="K342" s="28"/>
    </row>
    <row r="343" spans="1:11" s="8" customFormat="1">
      <c r="A343" s="27" t="s">
        <v>65</v>
      </c>
      <c r="B343" s="27" t="s">
        <v>66</v>
      </c>
      <c r="C343" s="28">
        <v>286000</v>
      </c>
      <c r="D343" s="28">
        <v>286000</v>
      </c>
      <c r="E343" s="28"/>
      <c r="F343" s="28"/>
      <c r="G343" s="28"/>
      <c r="H343" s="28"/>
      <c r="I343" s="28">
        <f t="shared" si="78"/>
        <v>-286000</v>
      </c>
      <c r="J343" s="28"/>
      <c r="K343" s="28"/>
    </row>
    <row r="344" spans="1:11" s="8" customFormat="1">
      <c r="A344" s="27" t="s">
        <v>73</v>
      </c>
      <c r="B344" s="27" t="s">
        <v>74</v>
      </c>
      <c r="C344" s="28">
        <v>404000</v>
      </c>
      <c r="D344" s="28">
        <v>404000</v>
      </c>
      <c r="E344" s="29">
        <v>149250</v>
      </c>
      <c r="F344" s="28"/>
      <c r="G344" s="28"/>
      <c r="H344" s="28"/>
      <c r="I344" s="28">
        <f t="shared" si="78"/>
        <v>-404000</v>
      </c>
      <c r="J344" s="28"/>
      <c r="K344" s="28"/>
    </row>
    <row r="345" spans="1:11" s="8" customFormat="1">
      <c r="A345" s="30" t="s">
        <v>116</v>
      </c>
      <c r="B345" s="31" t="s">
        <v>117</v>
      </c>
      <c r="C345" s="33">
        <f>SUM(C346)</f>
        <v>164000</v>
      </c>
      <c r="D345" s="33">
        <f t="shared" ref="D345:K345" si="104">SUM(D346)</f>
        <v>164000</v>
      </c>
      <c r="E345" s="33">
        <f t="shared" si="104"/>
        <v>55823.75</v>
      </c>
      <c r="F345" s="33">
        <f t="shared" si="104"/>
        <v>0</v>
      </c>
      <c r="G345" s="33">
        <f t="shared" si="104"/>
        <v>0</v>
      </c>
      <c r="H345" s="33">
        <f t="shared" si="104"/>
        <v>0</v>
      </c>
      <c r="I345" s="33">
        <f t="shared" si="104"/>
        <v>-164000</v>
      </c>
      <c r="J345" s="33">
        <f t="shared" si="104"/>
        <v>0</v>
      </c>
      <c r="K345" s="33">
        <f t="shared" si="104"/>
        <v>0</v>
      </c>
    </row>
    <row r="346" spans="1:11" s="8" customFormat="1">
      <c r="A346" s="27" t="s">
        <v>120</v>
      </c>
      <c r="B346" s="27" t="s">
        <v>121</v>
      </c>
      <c r="C346" s="28">
        <v>164000</v>
      </c>
      <c r="D346" s="28">
        <v>164000</v>
      </c>
      <c r="E346" s="29">
        <v>55823.75</v>
      </c>
      <c r="F346" s="28"/>
      <c r="G346" s="28"/>
      <c r="H346" s="28"/>
      <c r="I346" s="28">
        <f t="shared" si="78"/>
        <v>-164000</v>
      </c>
      <c r="J346" s="28"/>
      <c r="K346" s="28"/>
    </row>
    <row r="347" spans="1:11" s="8" customFormat="1">
      <c r="A347" s="30" t="s">
        <v>134</v>
      </c>
      <c r="B347" s="31" t="s">
        <v>135</v>
      </c>
      <c r="C347" s="33">
        <f>SUM(C348)</f>
        <v>145000</v>
      </c>
      <c r="D347" s="33">
        <f t="shared" ref="D347:K347" si="105">SUM(D348)</f>
        <v>145000</v>
      </c>
      <c r="E347" s="33">
        <f t="shared" si="105"/>
        <v>0</v>
      </c>
      <c r="F347" s="33">
        <f t="shared" si="105"/>
        <v>0</v>
      </c>
      <c r="G347" s="33">
        <f t="shared" si="105"/>
        <v>0</v>
      </c>
      <c r="H347" s="33">
        <f t="shared" si="105"/>
        <v>4590000</v>
      </c>
      <c r="I347" s="33">
        <f t="shared" si="105"/>
        <v>4445000</v>
      </c>
      <c r="J347" s="33">
        <f t="shared" si="105"/>
        <v>0</v>
      </c>
      <c r="K347" s="33">
        <f t="shared" si="105"/>
        <v>0</v>
      </c>
    </row>
    <row r="348" spans="1:11" s="8" customFormat="1">
      <c r="A348" s="27" t="s">
        <v>137</v>
      </c>
      <c r="B348" s="27" t="s">
        <v>136</v>
      </c>
      <c r="C348" s="28">
        <v>145000</v>
      </c>
      <c r="D348" s="28">
        <v>145000</v>
      </c>
      <c r="E348" s="28"/>
      <c r="F348" s="28"/>
      <c r="G348" s="28"/>
      <c r="H348" s="28">
        <v>4590000</v>
      </c>
      <c r="I348" s="28">
        <f t="shared" si="78"/>
        <v>4445000</v>
      </c>
      <c r="J348" s="28"/>
      <c r="K348" s="28"/>
    </row>
    <row r="349" spans="1:11" s="8" customFormat="1">
      <c r="A349" s="64" t="s">
        <v>222</v>
      </c>
      <c r="B349" s="65" t="s">
        <v>223</v>
      </c>
      <c r="C349" s="66">
        <f>SUM(C350)</f>
        <v>0</v>
      </c>
      <c r="D349" s="66">
        <f t="shared" ref="D349:K350" si="106">SUM(D350)</f>
        <v>15600000</v>
      </c>
      <c r="E349" s="66">
        <f t="shared" si="106"/>
        <v>3388499.14</v>
      </c>
      <c r="F349" s="66">
        <f t="shared" si="106"/>
        <v>0</v>
      </c>
      <c r="G349" s="66">
        <f t="shared" si="106"/>
        <v>0</v>
      </c>
      <c r="H349" s="66">
        <f t="shared" si="106"/>
        <v>0</v>
      </c>
      <c r="I349" s="66">
        <f t="shared" si="106"/>
        <v>-15600000</v>
      </c>
      <c r="J349" s="66">
        <f t="shared" si="106"/>
        <v>0</v>
      </c>
      <c r="K349" s="66">
        <f t="shared" si="106"/>
        <v>0</v>
      </c>
    </row>
    <row r="350" spans="1:11" s="8" customFormat="1">
      <c r="A350" s="30" t="s">
        <v>134</v>
      </c>
      <c r="B350" s="31" t="s">
        <v>135</v>
      </c>
      <c r="C350" s="33">
        <f>SUM(C351)</f>
        <v>0</v>
      </c>
      <c r="D350" s="33">
        <f t="shared" si="106"/>
        <v>15600000</v>
      </c>
      <c r="E350" s="33">
        <f t="shared" si="106"/>
        <v>3388499.14</v>
      </c>
      <c r="F350" s="33">
        <f t="shared" si="106"/>
        <v>0</v>
      </c>
      <c r="G350" s="33">
        <f t="shared" si="106"/>
        <v>0</v>
      </c>
      <c r="H350" s="33">
        <f t="shared" si="106"/>
        <v>0</v>
      </c>
      <c r="I350" s="33">
        <f t="shared" si="106"/>
        <v>-15600000</v>
      </c>
      <c r="J350" s="33">
        <f t="shared" si="106"/>
        <v>0</v>
      </c>
      <c r="K350" s="33">
        <f t="shared" si="106"/>
        <v>0</v>
      </c>
    </row>
    <row r="351" spans="1:11" s="8" customFormat="1">
      <c r="A351" s="27" t="s">
        <v>137</v>
      </c>
      <c r="B351" s="27" t="s">
        <v>136</v>
      </c>
      <c r="C351" s="28"/>
      <c r="D351" s="28">
        <v>15600000</v>
      </c>
      <c r="E351" s="29">
        <v>3388499.14</v>
      </c>
      <c r="F351" s="28"/>
      <c r="G351" s="28"/>
      <c r="H351" s="28"/>
      <c r="I351" s="28">
        <f t="shared" si="78"/>
        <v>-15600000</v>
      </c>
      <c r="J351" s="28"/>
      <c r="K351" s="28"/>
    </row>
    <row r="352" spans="1:11" s="19" customFormat="1" ht="14.25" customHeight="1">
      <c r="A352" s="91" t="s">
        <v>224</v>
      </c>
      <c r="B352" s="92" t="s">
        <v>225</v>
      </c>
      <c r="C352" s="15">
        <f>SUM(C353)</f>
        <v>16930000</v>
      </c>
      <c r="D352" s="15">
        <f t="shared" ref="D352:K352" si="107">SUM(D353)</f>
        <v>16930000</v>
      </c>
      <c r="E352" s="15">
        <f t="shared" si="107"/>
        <v>1249096.25</v>
      </c>
      <c r="F352" s="15">
        <f t="shared" si="107"/>
        <v>8630000</v>
      </c>
      <c r="G352" s="15">
        <f t="shared" si="107"/>
        <v>8630000</v>
      </c>
      <c r="H352" s="15">
        <f t="shared" si="107"/>
        <v>18355000</v>
      </c>
      <c r="I352" s="15">
        <f t="shared" si="107"/>
        <v>1425000</v>
      </c>
      <c r="J352" s="15">
        <f t="shared" si="107"/>
        <v>9645000</v>
      </c>
      <c r="K352" s="15">
        <f t="shared" si="107"/>
        <v>7415000</v>
      </c>
    </row>
    <row r="353" spans="1:11" s="8" customFormat="1" ht="20.399999999999999">
      <c r="A353" s="36" t="s">
        <v>306</v>
      </c>
      <c r="B353" s="37" t="s">
        <v>315</v>
      </c>
      <c r="C353" s="38">
        <f>SUM(C354,C368,C370,C378)</f>
        <v>16930000</v>
      </c>
      <c r="D353" s="38">
        <f t="shared" ref="D353:K353" si="108">SUM(D354,D368,D370,D378)</f>
        <v>16930000</v>
      </c>
      <c r="E353" s="38">
        <f t="shared" si="108"/>
        <v>1249096.25</v>
      </c>
      <c r="F353" s="38">
        <f t="shared" si="108"/>
        <v>8630000</v>
      </c>
      <c r="G353" s="38">
        <f t="shared" si="108"/>
        <v>8630000</v>
      </c>
      <c r="H353" s="38">
        <f t="shared" si="108"/>
        <v>18355000</v>
      </c>
      <c r="I353" s="38">
        <f t="shared" si="108"/>
        <v>1425000</v>
      </c>
      <c r="J353" s="38">
        <f t="shared" si="108"/>
        <v>9645000</v>
      </c>
      <c r="K353" s="38">
        <f t="shared" si="108"/>
        <v>7415000</v>
      </c>
    </row>
    <row r="354" spans="1:11" s="8" customFormat="1">
      <c r="A354" s="30" t="s">
        <v>39</v>
      </c>
      <c r="B354" s="31" t="s">
        <v>40</v>
      </c>
      <c r="C354" s="33">
        <f>SUM(C355:C367)</f>
        <v>1270000</v>
      </c>
      <c r="D354" s="33">
        <f t="shared" ref="D354:K354" si="109">SUM(D355:D367)</f>
        <v>1270000</v>
      </c>
      <c r="E354" s="33">
        <f t="shared" si="109"/>
        <v>434168</v>
      </c>
      <c r="F354" s="33">
        <f t="shared" si="109"/>
        <v>1080000</v>
      </c>
      <c r="G354" s="33">
        <f t="shared" si="109"/>
        <v>1080000</v>
      </c>
      <c r="H354" s="33">
        <f t="shared" si="109"/>
        <v>3555000</v>
      </c>
      <c r="I354" s="33">
        <f t="shared" si="109"/>
        <v>2285000</v>
      </c>
      <c r="J354" s="33">
        <f t="shared" si="109"/>
        <v>3105000</v>
      </c>
      <c r="K354" s="33">
        <f t="shared" si="109"/>
        <v>2625000</v>
      </c>
    </row>
    <row r="355" spans="1:11" s="8" customFormat="1">
      <c r="A355" s="27" t="s">
        <v>41</v>
      </c>
      <c r="B355" s="27" t="s">
        <v>42</v>
      </c>
      <c r="C355" s="28">
        <v>50000</v>
      </c>
      <c r="D355" s="28">
        <v>50000</v>
      </c>
      <c r="E355" s="28"/>
      <c r="F355" s="28">
        <v>50000</v>
      </c>
      <c r="G355" s="28">
        <v>50000</v>
      </c>
      <c r="H355" s="28">
        <v>90000</v>
      </c>
      <c r="I355" s="28">
        <f t="shared" si="78"/>
        <v>40000</v>
      </c>
      <c r="J355" s="28">
        <v>80000</v>
      </c>
      <c r="K355" s="28">
        <v>90000</v>
      </c>
    </row>
    <row r="356" spans="1:11" s="8" customFormat="1">
      <c r="A356" s="27" t="s">
        <v>43</v>
      </c>
      <c r="B356" s="27" t="s">
        <v>44</v>
      </c>
      <c r="C356" s="28">
        <v>10000</v>
      </c>
      <c r="D356" s="28">
        <v>10000</v>
      </c>
      <c r="E356" s="28"/>
      <c r="F356" s="28">
        <v>10000</v>
      </c>
      <c r="G356" s="28">
        <v>10000</v>
      </c>
      <c r="H356" s="28"/>
      <c r="I356" s="28">
        <f t="shared" si="78"/>
        <v>-10000</v>
      </c>
      <c r="J356" s="28"/>
      <c r="K356" s="28"/>
    </row>
    <row r="357" spans="1:11" s="8" customFormat="1">
      <c r="A357" s="27" t="s">
        <v>45</v>
      </c>
      <c r="B357" s="27" t="s">
        <v>46</v>
      </c>
      <c r="C357" s="28">
        <v>300000</v>
      </c>
      <c r="D357" s="28">
        <v>300000</v>
      </c>
      <c r="E357" s="28"/>
      <c r="F357" s="28">
        <v>300000</v>
      </c>
      <c r="G357" s="28">
        <v>300000</v>
      </c>
      <c r="H357" s="28">
        <v>490000</v>
      </c>
      <c r="I357" s="28">
        <f t="shared" si="78"/>
        <v>190000</v>
      </c>
      <c r="J357" s="28">
        <v>490000</v>
      </c>
      <c r="K357" s="28">
        <v>250000</v>
      </c>
    </row>
    <row r="358" spans="1:11" s="8" customFormat="1">
      <c r="A358" s="27" t="s">
        <v>49</v>
      </c>
      <c r="B358" s="27" t="s">
        <v>50</v>
      </c>
      <c r="C358" s="28">
        <v>5000</v>
      </c>
      <c r="D358" s="28">
        <v>5000</v>
      </c>
      <c r="E358" s="28"/>
      <c r="F358" s="28">
        <v>5000</v>
      </c>
      <c r="G358" s="28">
        <v>5000</v>
      </c>
      <c r="H358" s="28"/>
      <c r="I358" s="28">
        <f t="shared" si="78"/>
        <v>-5000</v>
      </c>
      <c r="J358" s="28"/>
      <c r="K358" s="28"/>
    </row>
    <row r="359" spans="1:11" s="8" customFormat="1">
      <c r="A359" s="27" t="s">
        <v>51</v>
      </c>
      <c r="B359" s="27" t="s">
        <v>52</v>
      </c>
      <c r="C359" s="28">
        <v>15000</v>
      </c>
      <c r="D359" s="28">
        <v>15000</v>
      </c>
      <c r="E359" s="28"/>
      <c r="F359" s="28">
        <v>15000</v>
      </c>
      <c r="G359" s="28">
        <v>15000</v>
      </c>
      <c r="H359" s="28"/>
      <c r="I359" s="28">
        <f t="shared" si="78"/>
        <v>-15000</v>
      </c>
      <c r="J359" s="28"/>
      <c r="K359" s="28"/>
    </row>
    <row r="360" spans="1:11" s="8" customFormat="1">
      <c r="A360" s="27" t="s">
        <v>53</v>
      </c>
      <c r="B360" s="27" t="s">
        <v>54</v>
      </c>
      <c r="C360" s="28">
        <v>430000</v>
      </c>
      <c r="D360" s="28">
        <v>430000</v>
      </c>
      <c r="E360" s="29">
        <v>18502.080000000002</v>
      </c>
      <c r="F360" s="28">
        <v>250000</v>
      </c>
      <c r="G360" s="28">
        <v>250000</v>
      </c>
      <c r="H360" s="28">
        <v>240000</v>
      </c>
      <c r="I360" s="28">
        <f t="shared" si="78"/>
        <v>-190000</v>
      </c>
      <c r="J360" s="28">
        <v>100000</v>
      </c>
      <c r="K360" s="28">
        <v>100000</v>
      </c>
    </row>
    <row r="361" spans="1:11" s="8" customFormat="1">
      <c r="A361" s="27" t="s">
        <v>55</v>
      </c>
      <c r="B361" s="27" t="s">
        <v>56</v>
      </c>
      <c r="C361" s="28">
        <v>10000</v>
      </c>
      <c r="D361" s="28">
        <v>10000</v>
      </c>
      <c r="E361" s="28"/>
      <c r="F361" s="28">
        <v>10000</v>
      </c>
      <c r="G361" s="28">
        <v>10000</v>
      </c>
      <c r="H361" s="28"/>
      <c r="I361" s="28">
        <f t="shared" si="78"/>
        <v>-10000</v>
      </c>
      <c r="J361" s="28"/>
      <c r="K361" s="28"/>
    </row>
    <row r="362" spans="1:11" s="8" customFormat="1">
      <c r="A362" s="27" t="s">
        <v>57</v>
      </c>
      <c r="B362" s="27" t="s">
        <v>58</v>
      </c>
      <c r="C362" s="28">
        <v>10000</v>
      </c>
      <c r="D362" s="28">
        <v>10000</v>
      </c>
      <c r="E362" s="29">
        <v>2325.38</v>
      </c>
      <c r="F362" s="28">
        <v>10000</v>
      </c>
      <c r="G362" s="28">
        <v>10000</v>
      </c>
      <c r="H362" s="28"/>
      <c r="I362" s="28">
        <f t="shared" si="78"/>
        <v>-10000</v>
      </c>
      <c r="J362" s="28"/>
      <c r="K362" s="28"/>
    </row>
    <row r="363" spans="1:11" s="8" customFormat="1">
      <c r="A363" s="27" t="s">
        <v>61</v>
      </c>
      <c r="B363" s="27" t="s">
        <v>62</v>
      </c>
      <c r="C363" s="28">
        <v>5000</v>
      </c>
      <c r="D363" s="28">
        <v>5000</v>
      </c>
      <c r="E363" s="28"/>
      <c r="F363" s="28">
        <v>5000</v>
      </c>
      <c r="G363" s="28">
        <v>5000</v>
      </c>
      <c r="H363" s="28"/>
      <c r="I363" s="28">
        <f t="shared" si="78"/>
        <v>-5000</v>
      </c>
      <c r="J363" s="28"/>
      <c r="K363" s="28"/>
    </row>
    <row r="364" spans="1:11" s="8" customFormat="1">
      <c r="A364" s="27" t="s">
        <v>63</v>
      </c>
      <c r="B364" s="27" t="s">
        <v>64</v>
      </c>
      <c r="C364" s="28">
        <v>350000</v>
      </c>
      <c r="D364" s="28">
        <v>350000</v>
      </c>
      <c r="E364" s="29">
        <v>413340.54</v>
      </c>
      <c r="F364" s="28">
        <v>350000</v>
      </c>
      <c r="G364" s="28">
        <v>350000</v>
      </c>
      <c r="H364" s="28">
        <v>1650000</v>
      </c>
      <c r="I364" s="28">
        <f t="shared" si="78"/>
        <v>1300000</v>
      </c>
      <c r="J364" s="28">
        <v>1350000</v>
      </c>
      <c r="K364" s="28">
        <v>1100000</v>
      </c>
    </row>
    <row r="365" spans="1:11" s="8" customFormat="1">
      <c r="A365" s="27" t="s">
        <v>65</v>
      </c>
      <c r="B365" s="27" t="s">
        <v>66</v>
      </c>
      <c r="C365" s="28">
        <v>15000</v>
      </c>
      <c r="D365" s="28">
        <v>15000</v>
      </c>
      <c r="E365" s="28"/>
      <c r="F365" s="28">
        <v>15000</v>
      </c>
      <c r="G365" s="28">
        <v>15000</v>
      </c>
      <c r="H365" s="28"/>
      <c r="I365" s="28">
        <f t="shared" si="78"/>
        <v>-15000</v>
      </c>
      <c r="J365" s="28"/>
      <c r="K365" s="28"/>
    </row>
    <row r="366" spans="1:11" s="8" customFormat="1">
      <c r="A366" s="27">
        <v>3235</v>
      </c>
      <c r="B366" s="27" t="s">
        <v>70</v>
      </c>
      <c r="C366" s="28"/>
      <c r="D366" s="28"/>
      <c r="E366" s="28"/>
      <c r="F366" s="28"/>
      <c r="G366" s="28"/>
      <c r="H366" s="28">
        <v>1000000</v>
      </c>
      <c r="I366" s="28">
        <f t="shared" si="78"/>
        <v>1000000</v>
      </c>
      <c r="J366" s="28">
        <v>1000000</v>
      </c>
      <c r="K366" s="28">
        <v>1000000</v>
      </c>
    </row>
    <row r="367" spans="1:11" s="8" customFormat="1">
      <c r="A367" s="27" t="s">
        <v>73</v>
      </c>
      <c r="B367" s="27" t="s">
        <v>74</v>
      </c>
      <c r="C367" s="28">
        <v>70000</v>
      </c>
      <c r="D367" s="28">
        <v>70000</v>
      </c>
      <c r="E367" s="28"/>
      <c r="F367" s="28">
        <v>60000</v>
      </c>
      <c r="G367" s="28">
        <v>60000</v>
      </c>
      <c r="H367" s="28">
        <v>85000</v>
      </c>
      <c r="I367" s="28">
        <f t="shared" si="78"/>
        <v>15000</v>
      </c>
      <c r="J367" s="28">
        <v>85000</v>
      </c>
      <c r="K367" s="28">
        <v>85000</v>
      </c>
    </row>
    <row r="368" spans="1:11" s="8" customFormat="1">
      <c r="A368" s="30" t="s">
        <v>112</v>
      </c>
      <c r="B368" s="31" t="s">
        <v>113</v>
      </c>
      <c r="C368" s="33">
        <f>SUM(C369)</f>
        <v>1400000</v>
      </c>
      <c r="D368" s="33">
        <f t="shared" ref="D368:K368" si="110">SUM(D369)</f>
        <v>1400000</v>
      </c>
      <c r="E368" s="33">
        <f t="shared" si="110"/>
        <v>642188.25</v>
      </c>
      <c r="F368" s="33">
        <f t="shared" si="110"/>
        <v>1100000</v>
      </c>
      <c r="G368" s="33">
        <f t="shared" si="110"/>
        <v>1100000</v>
      </c>
      <c r="H368" s="33">
        <f t="shared" si="110"/>
        <v>3500000</v>
      </c>
      <c r="I368" s="33">
        <f t="shared" si="110"/>
        <v>2100000</v>
      </c>
      <c r="J368" s="33">
        <f t="shared" si="110"/>
        <v>3750000</v>
      </c>
      <c r="K368" s="33">
        <f t="shared" si="110"/>
        <v>2000000</v>
      </c>
    </row>
    <row r="369" spans="1:11" s="8" customFormat="1">
      <c r="A369" s="27" t="s">
        <v>114</v>
      </c>
      <c r="B369" s="27" t="s">
        <v>115</v>
      </c>
      <c r="C369" s="28">
        <v>1400000</v>
      </c>
      <c r="D369" s="28">
        <v>1400000</v>
      </c>
      <c r="E369" s="29">
        <v>642188.25</v>
      </c>
      <c r="F369" s="28">
        <v>1100000</v>
      </c>
      <c r="G369" s="28">
        <v>1100000</v>
      </c>
      <c r="H369" s="28">
        <v>3500000</v>
      </c>
      <c r="I369" s="28">
        <f t="shared" si="78"/>
        <v>2100000</v>
      </c>
      <c r="J369" s="28">
        <v>3750000</v>
      </c>
      <c r="K369" s="28">
        <v>2000000</v>
      </c>
    </row>
    <row r="370" spans="1:11" s="8" customFormat="1">
      <c r="A370" s="30" t="s">
        <v>116</v>
      </c>
      <c r="B370" s="31" t="s">
        <v>117</v>
      </c>
      <c r="C370" s="33">
        <f>SUM(C371:C377)</f>
        <v>11760000</v>
      </c>
      <c r="D370" s="33">
        <f t="shared" ref="D370:K370" si="111">SUM(D371:D377)</f>
        <v>11760000</v>
      </c>
      <c r="E370" s="33">
        <f t="shared" si="111"/>
        <v>172740</v>
      </c>
      <c r="F370" s="33">
        <f t="shared" si="111"/>
        <v>3950000</v>
      </c>
      <c r="G370" s="33">
        <f t="shared" si="111"/>
        <v>3950000</v>
      </c>
      <c r="H370" s="33">
        <f t="shared" si="111"/>
        <v>10200000</v>
      </c>
      <c r="I370" s="33">
        <f t="shared" si="111"/>
        <v>-1560000</v>
      </c>
      <c r="J370" s="33">
        <f t="shared" si="111"/>
        <v>1690000</v>
      </c>
      <c r="K370" s="33">
        <f t="shared" si="111"/>
        <v>1690000</v>
      </c>
    </row>
    <row r="371" spans="1:11" s="8" customFormat="1">
      <c r="A371" s="27" t="s">
        <v>118</v>
      </c>
      <c r="B371" s="27" t="s">
        <v>119</v>
      </c>
      <c r="C371" s="28">
        <v>400000</v>
      </c>
      <c r="D371" s="28">
        <v>400000</v>
      </c>
      <c r="E371" s="28"/>
      <c r="F371" s="28">
        <v>150000</v>
      </c>
      <c r="G371" s="28">
        <v>150000</v>
      </c>
      <c r="H371" s="28">
        <v>300000</v>
      </c>
      <c r="I371" s="28">
        <f t="shared" si="78"/>
        <v>-100000</v>
      </c>
      <c r="J371" s="28">
        <v>150000</v>
      </c>
      <c r="K371" s="28">
        <v>150000</v>
      </c>
    </row>
    <row r="372" spans="1:11" s="8" customFormat="1">
      <c r="A372" s="27" t="s">
        <v>120</v>
      </c>
      <c r="B372" s="27" t="s">
        <v>121</v>
      </c>
      <c r="C372" s="28">
        <v>250000</v>
      </c>
      <c r="D372" s="28">
        <v>250000</v>
      </c>
      <c r="E372" s="28"/>
      <c r="F372" s="28">
        <v>250000</v>
      </c>
      <c r="G372" s="28">
        <v>250000</v>
      </c>
      <c r="H372" s="28">
        <v>40000</v>
      </c>
      <c r="I372" s="28">
        <f t="shared" si="78"/>
        <v>-210000</v>
      </c>
      <c r="J372" s="28">
        <v>40000</v>
      </c>
      <c r="K372" s="28">
        <v>40000</v>
      </c>
    </row>
    <row r="373" spans="1:11" s="8" customFormat="1">
      <c r="A373" s="27" t="s">
        <v>122</v>
      </c>
      <c r="B373" s="27" t="s">
        <v>123</v>
      </c>
      <c r="C373" s="28">
        <v>4060000</v>
      </c>
      <c r="D373" s="28">
        <v>4060000</v>
      </c>
      <c r="E373" s="29">
        <v>172740</v>
      </c>
      <c r="F373" s="28">
        <v>1000000</v>
      </c>
      <c r="G373" s="28">
        <v>1000000</v>
      </c>
      <c r="H373" s="28">
        <v>1860000</v>
      </c>
      <c r="I373" s="28">
        <f t="shared" si="78"/>
        <v>-2200000</v>
      </c>
      <c r="J373" s="28">
        <v>600000</v>
      </c>
      <c r="K373" s="28">
        <v>600000</v>
      </c>
    </row>
    <row r="374" spans="1:11" s="8" customFormat="1">
      <c r="A374" s="27" t="s">
        <v>226</v>
      </c>
      <c r="B374" s="27" t="s">
        <v>227</v>
      </c>
      <c r="C374" s="28">
        <v>3000000</v>
      </c>
      <c r="D374" s="28">
        <v>3000000</v>
      </c>
      <c r="E374" s="28"/>
      <c r="F374" s="28">
        <v>1000000</v>
      </c>
      <c r="G374" s="28">
        <v>1000000</v>
      </c>
      <c r="H374" s="28">
        <v>3000000</v>
      </c>
      <c r="I374" s="28">
        <f t="shared" si="78"/>
        <v>0</v>
      </c>
      <c r="J374" s="28"/>
      <c r="K374" s="28"/>
    </row>
    <row r="375" spans="1:11" s="8" customFormat="1">
      <c r="A375" s="27" t="s">
        <v>124</v>
      </c>
      <c r="B375" s="27" t="s">
        <v>125</v>
      </c>
      <c r="C375" s="28">
        <v>50000</v>
      </c>
      <c r="D375" s="28">
        <v>50000</v>
      </c>
      <c r="E375" s="28"/>
      <c r="F375" s="28">
        <v>50000</v>
      </c>
      <c r="G375" s="28">
        <v>50000</v>
      </c>
      <c r="H375" s="28"/>
      <c r="I375" s="28">
        <f t="shared" si="78"/>
        <v>-50000</v>
      </c>
      <c r="J375" s="28"/>
      <c r="K375" s="28"/>
    </row>
    <row r="376" spans="1:11" s="8" customFormat="1">
      <c r="A376" s="27" t="s">
        <v>160</v>
      </c>
      <c r="B376" s="27" t="s">
        <v>161</v>
      </c>
      <c r="C376" s="28">
        <v>2100000</v>
      </c>
      <c r="D376" s="28">
        <v>2100000</v>
      </c>
      <c r="E376" s="28"/>
      <c r="F376" s="28">
        <v>250000</v>
      </c>
      <c r="G376" s="28">
        <v>250000</v>
      </c>
      <c r="H376" s="28">
        <v>3000000</v>
      </c>
      <c r="I376" s="28">
        <f t="shared" si="78"/>
        <v>900000</v>
      </c>
      <c r="J376" s="28">
        <v>400000</v>
      </c>
      <c r="K376" s="28">
        <v>400000</v>
      </c>
    </row>
    <row r="377" spans="1:11" s="8" customFormat="1">
      <c r="A377" s="27" t="s">
        <v>188</v>
      </c>
      <c r="B377" s="27" t="s">
        <v>189</v>
      </c>
      <c r="C377" s="28">
        <v>1900000</v>
      </c>
      <c r="D377" s="28">
        <v>1900000</v>
      </c>
      <c r="E377" s="28"/>
      <c r="F377" s="28">
        <v>1250000</v>
      </c>
      <c r="G377" s="28">
        <v>1250000</v>
      </c>
      <c r="H377" s="28">
        <v>2000000</v>
      </c>
      <c r="I377" s="28">
        <f t="shared" si="78"/>
        <v>100000</v>
      </c>
      <c r="J377" s="28">
        <v>500000</v>
      </c>
      <c r="K377" s="28">
        <v>500000</v>
      </c>
    </row>
    <row r="378" spans="1:11" s="8" customFormat="1">
      <c r="A378" s="30" t="s">
        <v>134</v>
      </c>
      <c r="B378" s="31" t="s">
        <v>135</v>
      </c>
      <c r="C378" s="33">
        <f>SUM(C379)</f>
        <v>2500000</v>
      </c>
      <c r="D378" s="33">
        <f t="shared" ref="D378:K378" si="112">SUM(D379)</f>
        <v>2500000</v>
      </c>
      <c r="E378" s="33">
        <f t="shared" si="112"/>
        <v>0</v>
      </c>
      <c r="F378" s="33">
        <f t="shared" si="112"/>
        <v>2500000</v>
      </c>
      <c r="G378" s="33">
        <f t="shared" si="112"/>
        <v>2500000</v>
      </c>
      <c r="H378" s="33">
        <f t="shared" si="112"/>
        <v>1100000</v>
      </c>
      <c r="I378" s="33">
        <f t="shared" si="112"/>
        <v>-1400000</v>
      </c>
      <c r="J378" s="33">
        <f t="shared" si="112"/>
        <v>1100000</v>
      </c>
      <c r="K378" s="33">
        <f t="shared" si="112"/>
        <v>1100000</v>
      </c>
    </row>
    <row r="379" spans="1:11" s="8" customFormat="1">
      <c r="A379" s="27" t="s">
        <v>137</v>
      </c>
      <c r="B379" s="27" t="s">
        <v>136</v>
      </c>
      <c r="C379" s="28">
        <v>2500000</v>
      </c>
      <c r="D379" s="28">
        <v>2500000</v>
      </c>
      <c r="E379" s="28"/>
      <c r="F379" s="28">
        <v>2500000</v>
      </c>
      <c r="G379" s="28">
        <v>2500000</v>
      </c>
      <c r="H379" s="28">
        <v>1100000</v>
      </c>
      <c r="I379" s="28">
        <f t="shared" si="78"/>
        <v>-1400000</v>
      </c>
      <c r="J379" s="28">
        <v>1100000</v>
      </c>
      <c r="K379" s="28">
        <v>1100000</v>
      </c>
    </row>
    <row r="380" spans="1:11" s="19" customFormat="1" ht="25.5" customHeight="1">
      <c r="A380" s="91" t="s">
        <v>228</v>
      </c>
      <c r="B380" s="92" t="s">
        <v>229</v>
      </c>
      <c r="C380" s="15">
        <f>SUM(C381)</f>
        <v>13351000</v>
      </c>
      <c r="D380" s="15">
        <f t="shared" ref="D380:K380" si="113">SUM(D381)</f>
        <v>13351000</v>
      </c>
      <c r="E380" s="15">
        <f t="shared" si="113"/>
        <v>380754.15</v>
      </c>
      <c r="F380" s="15">
        <f t="shared" si="113"/>
        <v>10803000</v>
      </c>
      <c r="G380" s="15">
        <f t="shared" si="113"/>
        <v>6450000</v>
      </c>
      <c r="H380" s="15">
        <f t="shared" si="113"/>
        <v>41024000</v>
      </c>
      <c r="I380" s="15">
        <f t="shared" si="113"/>
        <v>27673000</v>
      </c>
      <c r="J380" s="15">
        <f t="shared" si="113"/>
        <v>19314000</v>
      </c>
      <c r="K380" s="15">
        <f t="shared" si="113"/>
        <v>9296000</v>
      </c>
    </row>
    <row r="381" spans="1:11" s="8" customFormat="1" ht="20.399999999999999">
      <c r="A381" s="36" t="s">
        <v>319</v>
      </c>
      <c r="B381" s="37" t="s">
        <v>316</v>
      </c>
      <c r="C381" s="38">
        <f>SUM(C382,C385,C400,C402,C410)</f>
        <v>13351000</v>
      </c>
      <c r="D381" s="38">
        <f t="shared" ref="D381:K381" si="114">SUM(D382,D385,D400,D402,D410)</f>
        <v>13351000</v>
      </c>
      <c r="E381" s="38">
        <f t="shared" si="114"/>
        <v>380754.15</v>
      </c>
      <c r="F381" s="38">
        <f t="shared" si="114"/>
        <v>10803000</v>
      </c>
      <c r="G381" s="38">
        <f t="shared" si="114"/>
        <v>6450000</v>
      </c>
      <c r="H381" s="38">
        <f t="shared" si="114"/>
        <v>41024000</v>
      </c>
      <c r="I381" s="38">
        <f t="shared" si="114"/>
        <v>27673000</v>
      </c>
      <c r="J381" s="38">
        <f t="shared" si="114"/>
        <v>19314000</v>
      </c>
      <c r="K381" s="38">
        <f t="shared" si="114"/>
        <v>9296000</v>
      </c>
    </row>
    <row r="382" spans="1:11" s="8" customFormat="1">
      <c r="A382" s="30" t="s">
        <v>27</v>
      </c>
      <c r="B382" s="31" t="s">
        <v>28</v>
      </c>
      <c r="C382" s="33">
        <f>SUM(C383:C384)</f>
        <v>600000</v>
      </c>
      <c r="D382" s="33">
        <f t="shared" ref="D382:K382" si="115">SUM(D383:D384)</f>
        <v>600000</v>
      </c>
      <c r="E382" s="33">
        <f t="shared" si="115"/>
        <v>0</v>
      </c>
      <c r="F382" s="33">
        <f t="shared" si="115"/>
        <v>600000</v>
      </c>
      <c r="G382" s="33">
        <f t="shared" si="115"/>
        <v>600000</v>
      </c>
      <c r="H382" s="33">
        <f t="shared" si="115"/>
        <v>0</v>
      </c>
      <c r="I382" s="33">
        <f t="shared" si="115"/>
        <v>-600000</v>
      </c>
      <c r="J382" s="33">
        <f t="shared" si="115"/>
        <v>0</v>
      </c>
      <c r="K382" s="33">
        <f t="shared" si="115"/>
        <v>0</v>
      </c>
    </row>
    <row r="383" spans="1:11" s="8" customFormat="1">
      <c r="A383" s="27" t="s">
        <v>29</v>
      </c>
      <c r="B383" s="27" t="s">
        <v>30</v>
      </c>
      <c r="C383" s="28">
        <v>500000</v>
      </c>
      <c r="D383" s="28">
        <v>500000</v>
      </c>
      <c r="E383" s="28"/>
      <c r="F383" s="28">
        <v>500000</v>
      </c>
      <c r="G383" s="28">
        <v>500000</v>
      </c>
      <c r="H383" s="28"/>
      <c r="I383" s="28">
        <f t="shared" si="78"/>
        <v>-500000</v>
      </c>
      <c r="J383" s="28"/>
      <c r="K383" s="28"/>
    </row>
    <row r="384" spans="1:11" s="8" customFormat="1">
      <c r="A384" s="27" t="s">
        <v>37</v>
      </c>
      <c r="B384" s="27" t="s">
        <v>38</v>
      </c>
      <c r="C384" s="28">
        <v>100000</v>
      </c>
      <c r="D384" s="28">
        <v>100000</v>
      </c>
      <c r="E384" s="28"/>
      <c r="F384" s="28">
        <v>100000</v>
      </c>
      <c r="G384" s="28">
        <v>100000</v>
      </c>
      <c r="H384" s="28"/>
      <c r="I384" s="28">
        <f t="shared" si="78"/>
        <v>-100000</v>
      </c>
      <c r="J384" s="28"/>
      <c r="K384" s="28"/>
    </row>
    <row r="385" spans="1:11" s="8" customFormat="1">
      <c r="A385" s="30" t="s">
        <v>39</v>
      </c>
      <c r="B385" s="31" t="s">
        <v>40</v>
      </c>
      <c r="C385" s="33">
        <f>SUM(C386:C399)</f>
        <v>9286000</v>
      </c>
      <c r="D385" s="33">
        <f t="shared" ref="D385:K385" si="116">SUM(D386:D399)</f>
        <v>9286000</v>
      </c>
      <c r="E385" s="33">
        <f t="shared" si="116"/>
        <v>203454.15000000002</v>
      </c>
      <c r="F385" s="33">
        <f t="shared" si="116"/>
        <v>8170000</v>
      </c>
      <c r="G385" s="33">
        <f t="shared" si="116"/>
        <v>4311000</v>
      </c>
      <c r="H385" s="33">
        <f t="shared" si="116"/>
        <v>13033000</v>
      </c>
      <c r="I385" s="33">
        <f t="shared" si="116"/>
        <v>3747000</v>
      </c>
      <c r="J385" s="33">
        <f t="shared" si="116"/>
        <v>6924000</v>
      </c>
      <c r="K385" s="33">
        <f t="shared" si="116"/>
        <v>4320000</v>
      </c>
    </row>
    <row r="386" spans="1:11" s="8" customFormat="1">
      <c r="A386" s="27" t="s">
        <v>41</v>
      </c>
      <c r="B386" s="27" t="s">
        <v>42</v>
      </c>
      <c r="C386" s="28">
        <v>100000</v>
      </c>
      <c r="D386" s="28">
        <v>100000</v>
      </c>
      <c r="E386" s="28"/>
      <c r="F386" s="28">
        <v>100000</v>
      </c>
      <c r="G386" s="28">
        <v>100000</v>
      </c>
      <c r="H386" s="28"/>
      <c r="I386" s="28">
        <f t="shared" si="78"/>
        <v>-100000</v>
      </c>
      <c r="J386" s="28"/>
      <c r="K386" s="28"/>
    </row>
    <row r="387" spans="1:11" s="8" customFormat="1">
      <c r="A387" s="27" t="s">
        <v>43</v>
      </c>
      <c r="B387" s="27" t="s">
        <v>44</v>
      </c>
      <c r="C387" s="28">
        <v>200000</v>
      </c>
      <c r="D387" s="28">
        <v>200000</v>
      </c>
      <c r="E387" s="28"/>
      <c r="F387" s="28">
        <v>200000</v>
      </c>
      <c r="G387" s="28">
        <v>200000</v>
      </c>
      <c r="H387" s="28">
        <v>26000</v>
      </c>
      <c r="I387" s="28">
        <f t="shared" si="78"/>
        <v>-174000</v>
      </c>
      <c r="J387" s="28">
        <v>26000</v>
      </c>
      <c r="K387" s="28"/>
    </row>
    <row r="388" spans="1:11" s="8" customFormat="1">
      <c r="A388" s="27" t="s">
        <v>45</v>
      </c>
      <c r="B388" s="27" t="s">
        <v>46</v>
      </c>
      <c r="C388" s="28">
        <v>200000</v>
      </c>
      <c r="D388" s="28">
        <v>200000</v>
      </c>
      <c r="E388" s="28"/>
      <c r="F388" s="28">
        <v>200000</v>
      </c>
      <c r="G388" s="28">
        <v>200000</v>
      </c>
      <c r="H388" s="28">
        <v>2138000</v>
      </c>
      <c r="I388" s="28">
        <f t="shared" si="78"/>
        <v>1938000</v>
      </c>
      <c r="J388" s="28">
        <v>69000</v>
      </c>
      <c r="K388" s="28"/>
    </row>
    <row r="389" spans="1:11" s="8" customFormat="1">
      <c r="A389" s="27" t="s">
        <v>49</v>
      </c>
      <c r="B389" s="27" t="s">
        <v>50</v>
      </c>
      <c r="C389" s="28">
        <v>20000</v>
      </c>
      <c r="D389" s="28">
        <v>20000</v>
      </c>
      <c r="E389" s="28"/>
      <c r="F389" s="28">
        <v>20000</v>
      </c>
      <c r="G389" s="28">
        <v>20000</v>
      </c>
      <c r="H389" s="28"/>
      <c r="I389" s="28">
        <f t="shared" si="78"/>
        <v>-20000</v>
      </c>
      <c r="J389" s="28"/>
      <c r="K389" s="28"/>
    </row>
    <row r="390" spans="1:11" s="8" customFormat="1">
      <c r="A390" s="27" t="s">
        <v>53</v>
      </c>
      <c r="B390" s="27" t="s">
        <v>54</v>
      </c>
      <c r="C390" s="28">
        <v>149000</v>
      </c>
      <c r="D390" s="28">
        <v>149000</v>
      </c>
      <c r="E390" s="29">
        <v>19260.48</v>
      </c>
      <c r="F390" s="28">
        <v>149000</v>
      </c>
      <c r="G390" s="28">
        <v>149000</v>
      </c>
      <c r="H390" s="28">
        <v>629000</v>
      </c>
      <c r="I390" s="28">
        <f t="shared" si="78"/>
        <v>480000</v>
      </c>
      <c r="J390" s="28">
        <v>629000</v>
      </c>
      <c r="K390" s="28"/>
    </row>
    <row r="391" spans="1:11" s="8" customFormat="1">
      <c r="A391" s="27" t="s">
        <v>57</v>
      </c>
      <c r="B391" s="27" t="s">
        <v>58</v>
      </c>
      <c r="C391" s="28">
        <v>20000</v>
      </c>
      <c r="D391" s="28">
        <v>20000</v>
      </c>
      <c r="E391" s="28"/>
      <c r="F391" s="28">
        <v>20000</v>
      </c>
      <c r="G391" s="28">
        <v>20000</v>
      </c>
      <c r="H391" s="28"/>
      <c r="I391" s="28">
        <f t="shared" si="78"/>
        <v>-20000</v>
      </c>
      <c r="J391" s="28"/>
      <c r="K391" s="28"/>
    </row>
    <row r="392" spans="1:11" s="8" customFormat="1">
      <c r="A392" s="27" t="s">
        <v>61</v>
      </c>
      <c r="B392" s="27" t="s">
        <v>62</v>
      </c>
      <c r="C392" s="28">
        <v>2661000</v>
      </c>
      <c r="D392" s="28">
        <v>2661000</v>
      </c>
      <c r="E392" s="29">
        <v>3082.49</v>
      </c>
      <c r="F392" s="28">
        <v>2436000</v>
      </c>
      <c r="G392" s="28">
        <v>178000</v>
      </c>
      <c r="H392" s="28">
        <v>354000</v>
      </c>
      <c r="I392" s="28">
        <f>H392-D392</f>
        <v>-2307000</v>
      </c>
      <c r="J392" s="28">
        <v>104000</v>
      </c>
      <c r="K392" s="28"/>
    </row>
    <row r="393" spans="1:11" s="8" customFormat="1">
      <c r="A393" s="27" t="s">
        <v>63</v>
      </c>
      <c r="B393" s="27" t="s">
        <v>64</v>
      </c>
      <c r="C393" s="28">
        <v>1000000</v>
      </c>
      <c r="D393" s="28">
        <v>1000000</v>
      </c>
      <c r="E393" s="29">
        <v>54331.26</v>
      </c>
      <c r="F393" s="28">
        <v>2000000</v>
      </c>
      <c r="G393" s="28">
        <v>2500000</v>
      </c>
      <c r="H393" s="28">
        <v>3070000</v>
      </c>
      <c r="I393" s="28">
        <f t="shared" ref="I393:I470" si="117">H393-D393</f>
        <v>2070000</v>
      </c>
      <c r="J393" s="28">
        <v>280000</v>
      </c>
      <c r="K393" s="28"/>
    </row>
    <row r="394" spans="1:11" s="8" customFormat="1">
      <c r="A394" s="27" t="s">
        <v>65</v>
      </c>
      <c r="B394" s="27" t="s">
        <v>66</v>
      </c>
      <c r="C394" s="28">
        <v>100000</v>
      </c>
      <c r="D394" s="28">
        <v>100000</v>
      </c>
      <c r="E394" s="28"/>
      <c r="F394" s="28">
        <v>100000</v>
      </c>
      <c r="G394" s="28">
        <v>100000</v>
      </c>
      <c r="H394" s="28"/>
      <c r="I394" s="28">
        <f t="shared" si="117"/>
        <v>-100000</v>
      </c>
      <c r="J394" s="28"/>
      <c r="K394" s="28"/>
    </row>
    <row r="395" spans="1:11" s="8" customFormat="1">
      <c r="A395" s="27" t="s">
        <v>67</v>
      </c>
      <c r="B395" s="27" t="s">
        <v>68</v>
      </c>
      <c r="C395" s="28">
        <v>8000</v>
      </c>
      <c r="D395" s="28">
        <v>8000</v>
      </c>
      <c r="E395" s="29">
        <v>1943.36</v>
      </c>
      <c r="F395" s="28">
        <v>8000</v>
      </c>
      <c r="G395" s="28">
        <v>8000</v>
      </c>
      <c r="H395" s="28">
        <v>30000</v>
      </c>
      <c r="I395" s="28">
        <f t="shared" si="117"/>
        <v>22000</v>
      </c>
      <c r="J395" s="28">
        <v>30000</v>
      </c>
      <c r="K395" s="28"/>
    </row>
    <row r="396" spans="1:11" s="8" customFormat="1">
      <c r="A396" s="27" t="s">
        <v>71</v>
      </c>
      <c r="B396" s="27" t="s">
        <v>72</v>
      </c>
      <c r="C396" s="28">
        <v>1500</v>
      </c>
      <c r="D396" s="28">
        <v>1500</v>
      </c>
      <c r="E396" s="28"/>
      <c r="F396" s="28">
        <v>1500</v>
      </c>
      <c r="G396" s="28">
        <v>1500</v>
      </c>
      <c r="H396" s="28">
        <v>467000</v>
      </c>
      <c r="I396" s="28">
        <f t="shared" si="117"/>
        <v>465500</v>
      </c>
      <c r="J396" s="28">
        <v>467000</v>
      </c>
      <c r="K396" s="28">
        <v>467000</v>
      </c>
    </row>
    <row r="397" spans="1:11" s="8" customFormat="1">
      <c r="A397" s="27" t="s">
        <v>73</v>
      </c>
      <c r="B397" s="27" t="s">
        <v>74</v>
      </c>
      <c r="C397" s="28">
        <v>338000</v>
      </c>
      <c r="D397" s="28">
        <v>338000</v>
      </c>
      <c r="E397" s="29">
        <v>42411.56</v>
      </c>
      <c r="F397" s="28">
        <v>307000</v>
      </c>
      <c r="G397" s="28">
        <v>326000</v>
      </c>
      <c r="H397" s="28">
        <v>864000</v>
      </c>
      <c r="I397" s="28">
        <f t="shared" si="117"/>
        <v>526000</v>
      </c>
      <c r="J397" s="28">
        <v>864000</v>
      </c>
      <c r="K397" s="28">
        <v>343000</v>
      </c>
    </row>
    <row r="398" spans="1:11" s="8" customFormat="1">
      <c r="A398" s="27" t="s">
        <v>132</v>
      </c>
      <c r="B398" s="27" t="s">
        <v>133</v>
      </c>
      <c r="C398" s="28">
        <v>487000</v>
      </c>
      <c r="D398" s="28">
        <v>487000</v>
      </c>
      <c r="E398" s="29">
        <v>82425</v>
      </c>
      <c r="F398" s="28">
        <v>627000</v>
      </c>
      <c r="G398" s="28">
        <v>507000</v>
      </c>
      <c r="H398" s="28">
        <v>1345000</v>
      </c>
      <c r="I398" s="28">
        <f t="shared" si="117"/>
        <v>858000</v>
      </c>
      <c r="J398" s="28">
        <v>345000</v>
      </c>
      <c r="K398" s="28"/>
    </row>
    <row r="399" spans="1:11" s="8" customFormat="1">
      <c r="A399" s="27" t="s">
        <v>75</v>
      </c>
      <c r="B399" s="27" t="s">
        <v>76</v>
      </c>
      <c r="C399" s="28">
        <v>4001500</v>
      </c>
      <c r="D399" s="28">
        <v>4001500</v>
      </c>
      <c r="E399" s="28"/>
      <c r="F399" s="28">
        <v>2001500</v>
      </c>
      <c r="G399" s="28">
        <v>1500</v>
      </c>
      <c r="H399" s="28">
        <v>4110000</v>
      </c>
      <c r="I399" s="28">
        <f t="shared" si="117"/>
        <v>108500</v>
      </c>
      <c r="J399" s="28">
        <v>4110000</v>
      </c>
      <c r="K399" s="28">
        <v>3510000</v>
      </c>
    </row>
    <row r="400" spans="1:11" s="8" customFormat="1" ht="20.399999999999999">
      <c r="A400" s="30" t="s">
        <v>19</v>
      </c>
      <c r="B400" s="31" t="s">
        <v>20</v>
      </c>
      <c r="C400" s="33">
        <f>SUM(C401)</f>
        <v>1519000</v>
      </c>
      <c r="D400" s="33">
        <f t="shared" ref="D400:K400" si="118">SUM(D401)</f>
        <v>1519000</v>
      </c>
      <c r="E400" s="33">
        <f t="shared" si="118"/>
        <v>0</v>
      </c>
      <c r="F400" s="33">
        <f t="shared" si="118"/>
        <v>1106000</v>
      </c>
      <c r="G400" s="33">
        <f t="shared" si="118"/>
        <v>612000</v>
      </c>
      <c r="H400" s="33">
        <f t="shared" si="118"/>
        <v>1012000</v>
      </c>
      <c r="I400" s="33">
        <f t="shared" si="118"/>
        <v>-507000</v>
      </c>
      <c r="J400" s="33">
        <f t="shared" si="118"/>
        <v>553000</v>
      </c>
      <c r="K400" s="33">
        <f t="shared" si="118"/>
        <v>142000</v>
      </c>
    </row>
    <row r="401" spans="1:11" s="8" customFormat="1">
      <c r="A401" s="27" t="s">
        <v>230</v>
      </c>
      <c r="B401" s="27" t="s">
        <v>231</v>
      </c>
      <c r="C401" s="28">
        <v>1519000</v>
      </c>
      <c r="D401" s="28">
        <v>1519000</v>
      </c>
      <c r="E401" s="28"/>
      <c r="F401" s="28">
        <v>1106000</v>
      </c>
      <c r="G401" s="28">
        <v>612000</v>
      </c>
      <c r="H401" s="28">
        <v>1012000</v>
      </c>
      <c r="I401" s="28">
        <f t="shared" si="117"/>
        <v>-507000</v>
      </c>
      <c r="J401" s="28">
        <v>553000</v>
      </c>
      <c r="K401" s="28">
        <v>142000</v>
      </c>
    </row>
    <row r="402" spans="1:11" s="8" customFormat="1">
      <c r="A402" s="30" t="s">
        <v>116</v>
      </c>
      <c r="B402" s="31" t="s">
        <v>117</v>
      </c>
      <c r="C402" s="33">
        <f>SUM(C403:C409)</f>
        <v>1946000</v>
      </c>
      <c r="D402" s="33">
        <f t="shared" ref="D402:K402" si="119">SUM(D403:D409)</f>
        <v>1946000</v>
      </c>
      <c r="E402" s="33">
        <f t="shared" si="119"/>
        <v>177300</v>
      </c>
      <c r="F402" s="33">
        <f t="shared" si="119"/>
        <v>927000</v>
      </c>
      <c r="G402" s="33">
        <f t="shared" si="119"/>
        <v>927000</v>
      </c>
      <c r="H402" s="33">
        <f t="shared" si="119"/>
        <v>18946000</v>
      </c>
      <c r="I402" s="33">
        <f t="shared" si="119"/>
        <v>17000000</v>
      </c>
      <c r="J402" s="33">
        <f t="shared" si="119"/>
        <v>5602000</v>
      </c>
      <c r="K402" s="33">
        <f t="shared" si="119"/>
        <v>4834000</v>
      </c>
    </row>
    <row r="403" spans="1:11" s="8" customFormat="1">
      <c r="A403" s="27" t="s">
        <v>118</v>
      </c>
      <c r="B403" s="27" t="s">
        <v>119</v>
      </c>
      <c r="C403" s="28">
        <v>25000</v>
      </c>
      <c r="D403" s="28">
        <v>25000</v>
      </c>
      <c r="E403" s="28"/>
      <c r="F403" s="41">
        <v>0</v>
      </c>
      <c r="G403" s="28"/>
      <c r="H403" s="41">
        <v>3841000</v>
      </c>
      <c r="I403" s="28">
        <f t="shared" si="117"/>
        <v>3816000</v>
      </c>
      <c r="J403" s="28">
        <v>13000</v>
      </c>
      <c r="K403" s="28"/>
    </row>
    <row r="404" spans="1:11" s="8" customFormat="1">
      <c r="A404" s="27" t="s">
        <v>120</v>
      </c>
      <c r="B404" s="27" t="s">
        <v>121</v>
      </c>
      <c r="C404" s="28"/>
      <c r="D404" s="28"/>
      <c r="E404" s="28"/>
      <c r="F404" s="41"/>
      <c r="G404" s="28"/>
      <c r="H404" s="41">
        <v>105000</v>
      </c>
      <c r="I404" s="28">
        <f t="shared" si="117"/>
        <v>105000</v>
      </c>
      <c r="J404" s="28">
        <v>45000</v>
      </c>
      <c r="K404" s="28"/>
    </row>
    <row r="405" spans="1:11" s="8" customFormat="1">
      <c r="A405" s="27" t="s">
        <v>122</v>
      </c>
      <c r="B405" s="27" t="s">
        <v>123</v>
      </c>
      <c r="C405" s="28"/>
      <c r="D405" s="28"/>
      <c r="E405" s="28"/>
      <c r="F405" s="41"/>
      <c r="G405" s="28"/>
      <c r="H405" s="41">
        <v>40000</v>
      </c>
      <c r="I405" s="28">
        <f t="shared" si="117"/>
        <v>40000</v>
      </c>
      <c r="J405" s="28">
        <v>40000</v>
      </c>
      <c r="K405" s="28"/>
    </row>
    <row r="406" spans="1:11" s="8" customFormat="1">
      <c r="A406" s="27" t="s">
        <v>226</v>
      </c>
      <c r="B406" s="27" t="s">
        <v>227</v>
      </c>
      <c r="C406" s="28"/>
      <c r="D406" s="28"/>
      <c r="E406" s="28"/>
      <c r="F406" s="41"/>
      <c r="G406" s="28"/>
      <c r="H406" s="41">
        <v>113000</v>
      </c>
      <c r="I406" s="28">
        <f t="shared" si="117"/>
        <v>113000</v>
      </c>
      <c r="J406" s="28">
        <v>3000</v>
      </c>
      <c r="K406" s="28"/>
    </row>
    <row r="407" spans="1:11" s="8" customFormat="1">
      <c r="A407" s="27" t="s">
        <v>186</v>
      </c>
      <c r="B407" s="27" t="s">
        <v>187</v>
      </c>
      <c r="C407" s="28">
        <v>100000</v>
      </c>
      <c r="D407" s="28">
        <v>100000</v>
      </c>
      <c r="E407" s="28"/>
      <c r="F407" s="28">
        <v>100000</v>
      </c>
      <c r="G407" s="28">
        <v>100000</v>
      </c>
      <c r="H407" s="28">
        <v>5000000</v>
      </c>
      <c r="I407" s="28">
        <f t="shared" si="117"/>
        <v>4900000</v>
      </c>
      <c r="J407" s="28"/>
      <c r="K407" s="28"/>
    </row>
    <row r="408" spans="1:11" s="8" customFormat="1">
      <c r="A408" s="27" t="s">
        <v>160</v>
      </c>
      <c r="B408" s="27" t="s">
        <v>161</v>
      </c>
      <c r="C408" s="28">
        <v>788000</v>
      </c>
      <c r="D408" s="28">
        <v>788000</v>
      </c>
      <c r="E408" s="28"/>
      <c r="F408" s="41">
        <v>0</v>
      </c>
      <c r="G408" s="28"/>
      <c r="H408" s="41">
        <v>4096000</v>
      </c>
      <c r="I408" s="28">
        <f t="shared" si="117"/>
        <v>3308000</v>
      </c>
      <c r="J408" s="28"/>
      <c r="K408" s="28"/>
    </row>
    <row r="409" spans="1:11" s="8" customFormat="1">
      <c r="A409" s="27" t="s">
        <v>188</v>
      </c>
      <c r="B409" s="27" t="s">
        <v>189</v>
      </c>
      <c r="C409" s="28">
        <v>1033000</v>
      </c>
      <c r="D409" s="28">
        <v>1033000</v>
      </c>
      <c r="E409" s="29">
        <v>177300</v>
      </c>
      <c r="F409" s="28">
        <v>827000</v>
      </c>
      <c r="G409" s="28">
        <v>827000</v>
      </c>
      <c r="H409" s="28">
        <v>5751000</v>
      </c>
      <c r="I409" s="28">
        <f t="shared" si="117"/>
        <v>4718000</v>
      </c>
      <c r="J409" s="28">
        <v>5501000</v>
      </c>
      <c r="K409" s="28">
        <v>4834000</v>
      </c>
    </row>
    <row r="410" spans="1:11" s="8" customFormat="1">
      <c r="A410" s="30" t="s">
        <v>134</v>
      </c>
      <c r="B410" s="31" t="s">
        <v>135</v>
      </c>
      <c r="C410" s="33">
        <f>SUM(C411)</f>
        <v>0</v>
      </c>
      <c r="D410" s="33">
        <f t="shared" ref="D410:K410" si="120">SUM(D411)</f>
        <v>0</v>
      </c>
      <c r="E410" s="33">
        <f t="shared" si="120"/>
        <v>0</v>
      </c>
      <c r="F410" s="33">
        <f t="shared" si="120"/>
        <v>0</v>
      </c>
      <c r="G410" s="33">
        <f t="shared" si="120"/>
        <v>0</v>
      </c>
      <c r="H410" s="33">
        <f t="shared" si="120"/>
        <v>8033000</v>
      </c>
      <c r="I410" s="33">
        <f t="shared" si="120"/>
        <v>8033000</v>
      </c>
      <c r="J410" s="33">
        <f t="shared" si="120"/>
        <v>6235000</v>
      </c>
      <c r="K410" s="33">
        <f t="shared" si="120"/>
        <v>0</v>
      </c>
    </row>
    <row r="411" spans="1:11" s="8" customFormat="1">
      <c r="A411" s="27" t="s">
        <v>137</v>
      </c>
      <c r="B411" s="27" t="s">
        <v>136</v>
      </c>
      <c r="C411" s="28"/>
      <c r="D411" s="28"/>
      <c r="E411" s="28"/>
      <c r="F411" s="28"/>
      <c r="G411" s="28"/>
      <c r="H411" s="28">
        <v>8033000</v>
      </c>
      <c r="I411" s="28">
        <f t="shared" ref="I411" si="121">H411-D411</f>
        <v>8033000</v>
      </c>
      <c r="J411" s="28">
        <v>6235000</v>
      </c>
      <c r="K411" s="28"/>
    </row>
    <row r="412" spans="1:11" s="19" customFormat="1" ht="18.75" customHeight="1">
      <c r="A412" s="91" t="s">
        <v>232</v>
      </c>
      <c r="B412" s="92" t="s">
        <v>233</v>
      </c>
      <c r="C412" s="15">
        <f>SUM(C413)</f>
        <v>26374000</v>
      </c>
      <c r="D412" s="15">
        <f t="shared" ref="D412:K412" si="122">SUM(D413)</f>
        <v>26374000</v>
      </c>
      <c r="E412" s="15">
        <f t="shared" si="122"/>
        <v>12724116.850000001</v>
      </c>
      <c r="F412" s="15">
        <f t="shared" si="122"/>
        <v>4926500</v>
      </c>
      <c r="G412" s="15">
        <f t="shared" si="122"/>
        <v>0</v>
      </c>
      <c r="H412" s="15">
        <f t="shared" si="122"/>
        <v>9500800</v>
      </c>
      <c r="I412" s="15">
        <f t="shared" si="122"/>
        <v>-16873200</v>
      </c>
      <c r="J412" s="15">
        <f t="shared" si="122"/>
        <v>0</v>
      </c>
      <c r="K412" s="15">
        <f t="shared" si="122"/>
        <v>0</v>
      </c>
    </row>
    <row r="413" spans="1:11" s="8" customFormat="1" ht="20.399999999999999">
      <c r="A413" s="83" t="s">
        <v>311</v>
      </c>
      <c r="B413" s="84" t="s">
        <v>312</v>
      </c>
      <c r="C413" s="85">
        <f>SUM(C414,C416)</f>
        <v>26374000</v>
      </c>
      <c r="D413" s="85">
        <f t="shared" ref="D413:K413" si="123">SUM(D414,D416)</f>
        <v>26374000</v>
      </c>
      <c r="E413" s="85">
        <f t="shared" si="123"/>
        <v>12724116.850000001</v>
      </c>
      <c r="F413" s="85">
        <f t="shared" si="123"/>
        <v>4926500</v>
      </c>
      <c r="G413" s="85">
        <f t="shared" si="123"/>
        <v>0</v>
      </c>
      <c r="H413" s="85">
        <f t="shared" si="123"/>
        <v>9500800</v>
      </c>
      <c r="I413" s="85">
        <f t="shared" si="123"/>
        <v>-16873200</v>
      </c>
      <c r="J413" s="85">
        <f t="shared" si="123"/>
        <v>0</v>
      </c>
      <c r="K413" s="85">
        <f t="shared" si="123"/>
        <v>0</v>
      </c>
    </row>
    <row r="414" spans="1:11" s="8" customFormat="1">
      <c r="A414" s="30" t="s">
        <v>27</v>
      </c>
      <c r="B414" s="31" t="s">
        <v>28</v>
      </c>
      <c r="C414" s="33">
        <f>SUM(C415)</f>
        <v>47000</v>
      </c>
      <c r="D414" s="33">
        <f t="shared" ref="D414:K414" si="124">SUM(D415)</f>
        <v>47000</v>
      </c>
      <c r="E414" s="33">
        <f t="shared" si="124"/>
        <v>0</v>
      </c>
      <c r="F414" s="33">
        <f t="shared" si="124"/>
        <v>47000</v>
      </c>
      <c r="G414" s="33">
        <f t="shared" si="124"/>
        <v>0</v>
      </c>
      <c r="H414" s="33">
        <f t="shared" si="124"/>
        <v>52000</v>
      </c>
      <c r="I414" s="33">
        <f t="shared" si="124"/>
        <v>5000</v>
      </c>
      <c r="J414" s="33">
        <f t="shared" si="124"/>
        <v>0</v>
      </c>
      <c r="K414" s="33">
        <f t="shared" si="124"/>
        <v>0</v>
      </c>
    </row>
    <row r="415" spans="1:11" s="8" customFormat="1">
      <c r="A415" s="27" t="s">
        <v>29</v>
      </c>
      <c r="B415" s="27" t="s">
        <v>30</v>
      </c>
      <c r="C415" s="28">
        <v>47000</v>
      </c>
      <c r="D415" s="28">
        <v>47000</v>
      </c>
      <c r="E415" s="28"/>
      <c r="F415" s="28">
        <v>47000</v>
      </c>
      <c r="G415" s="28"/>
      <c r="H415" s="28">
        <v>52000</v>
      </c>
      <c r="I415" s="28">
        <f t="shared" si="117"/>
        <v>5000</v>
      </c>
      <c r="J415" s="28"/>
      <c r="K415" s="28"/>
    </row>
    <row r="416" spans="1:11" s="8" customFormat="1">
      <c r="A416" s="30" t="s">
        <v>39</v>
      </c>
      <c r="B416" s="31" t="s">
        <v>40</v>
      </c>
      <c r="C416" s="33">
        <f>SUM(C417:C419)</f>
        <v>26327000</v>
      </c>
      <c r="D416" s="33">
        <f t="shared" ref="D416:K416" si="125">SUM(D417:D419)</f>
        <v>26327000</v>
      </c>
      <c r="E416" s="33">
        <f t="shared" si="125"/>
        <v>12724116.850000001</v>
      </c>
      <c r="F416" s="33">
        <f t="shared" si="125"/>
        <v>4879500</v>
      </c>
      <c r="G416" s="33">
        <f t="shared" si="125"/>
        <v>0</v>
      </c>
      <c r="H416" s="33">
        <f t="shared" si="125"/>
        <v>9448800</v>
      </c>
      <c r="I416" s="33">
        <f t="shared" si="125"/>
        <v>-16878200</v>
      </c>
      <c r="J416" s="33">
        <f t="shared" si="125"/>
        <v>0</v>
      </c>
      <c r="K416" s="33">
        <f t="shared" si="125"/>
        <v>0</v>
      </c>
    </row>
    <row r="417" spans="1:11" s="8" customFormat="1">
      <c r="A417" s="27" t="s">
        <v>41</v>
      </c>
      <c r="B417" s="27" t="s">
        <v>42</v>
      </c>
      <c r="C417" s="28">
        <v>500</v>
      </c>
      <c r="D417" s="28">
        <v>500</v>
      </c>
      <c r="E417" s="29">
        <v>303.8</v>
      </c>
      <c r="F417" s="28">
        <v>500</v>
      </c>
      <c r="G417" s="28"/>
      <c r="H417" s="28">
        <v>1000</v>
      </c>
      <c r="I417" s="28">
        <f t="shared" si="117"/>
        <v>500</v>
      </c>
      <c r="J417" s="28"/>
      <c r="K417" s="28"/>
    </row>
    <row r="418" spans="1:11" s="8" customFormat="1">
      <c r="A418" s="27" t="s">
        <v>65</v>
      </c>
      <c r="B418" s="27" t="s">
        <v>66</v>
      </c>
      <c r="C418" s="28">
        <v>21500</v>
      </c>
      <c r="D418" s="28">
        <v>21500</v>
      </c>
      <c r="E418" s="29">
        <v>6889.75</v>
      </c>
      <c r="F418" s="28">
        <v>26000</v>
      </c>
      <c r="G418" s="28"/>
      <c r="H418" s="28">
        <v>43000</v>
      </c>
      <c r="I418" s="28">
        <f t="shared" si="117"/>
        <v>21500</v>
      </c>
      <c r="J418" s="28"/>
      <c r="K418" s="28"/>
    </row>
    <row r="419" spans="1:11" s="8" customFormat="1">
      <c r="A419" s="27" t="s">
        <v>75</v>
      </c>
      <c r="B419" s="27" t="s">
        <v>76</v>
      </c>
      <c r="C419" s="28">
        <v>26305000</v>
      </c>
      <c r="D419" s="28">
        <v>26305000</v>
      </c>
      <c r="E419" s="29">
        <v>12716923.300000001</v>
      </c>
      <c r="F419" s="28">
        <v>4853000</v>
      </c>
      <c r="G419" s="28"/>
      <c r="H419" s="133">
        <f>11780000-2375200</f>
        <v>9404800</v>
      </c>
      <c r="I419" s="28">
        <f t="shared" si="117"/>
        <v>-16900200</v>
      </c>
      <c r="J419" s="28"/>
      <c r="K419" s="28"/>
    </row>
    <row r="420" spans="1:11" s="19" customFormat="1" ht="20.399999999999999">
      <c r="A420" s="91" t="s">
        <v>234</v>
      </c>
      <c r="B420" s="92" t="s">
        <v>235</v>
      </c>
      <c r="C420" s="15">
        <f>SUM(C421)</f>
        <v>13880000</v>
      </c>
      <c r="D420" s="15">
        <f t="shared" ref="D420:K422" si="126">SUM(D421)</f>
        <v>13880000</v>
      </c>
      <c r="E420" s="15">
        <f t="shared" si="126"/>
        <v>160859.70000000001</v>
      </c>
      <c r="F420" s="15">
        <f t="shared" si="126"/>
        <v>1848000</v>
      </c>
      <c r="G420" s="15">
        <f t="shared" si="126"/>
        <v>0</v>
      </c>
      <c r="H420" s="15">
        <f t="shared" si="126"/>
        <v>18241000</v>
      </c>
      <c r="I420" s="15">
        <f t="shared" si="126"/>
        <v>4361000</v>
      </c>
      <c r="J420" s="15">
        <f t="shared" si="126"/>
        <v>0</v>
      </c>
      <c r="K420" s="15">
        <f t="shared" si="126"/>
        <v>0</v>
      </c>
    </row>
    <row r="421" spans="1:11" s="8" customFormat="1">
      <c r="A421" s="67" t="s">
        <v>307</v>
      </c>
      <c r="B421" s="67" t="s">
        <v>320</v>
      </c>
      <c r="C421" s="124">
        <f>SUM(C422,C424,C433,C437)</f>
        <v>13880000</v>
      </c>
      <c r="D421" s="124">
        <f t="shared" ref="D421:K421" si="127">SUM(D422,D424,D433,D437)</f>
        <v>13880000</v>
      </c>
      <c r="E421" s="124">
        <f t="shared" si="127"/>
        <v>160859.70000000001</v>
      </c>
      <c r="F421" s="124">
        <f t="shared" si="127"/>
        <v>1848000</v>
      </c>
      <c r="G421" s="124">
        <f t="shared" si="127"/>
        <v>0</v>
      </c>
      <c r="H421" s="124">
        <f t="shared" si="127"/>
        <v>18241000</v>
      </c>
      <c r="I421" s="124">
        <f t="shared" si="127"/>
        <v>4361000</v>
      </c>
      <c r="J421" s="124">
        <f t="shared" si="127"/>
        <v>0</v>
      </c>
      <c r="K421" s="124">
        <f t="shared" si="127"/>
        <v>0</v>
      </c>
    </row>
    <row r="422" spans="1:11" s="8" customFormat="1">
      <c r="A422" s="30" t="s">
        <v>27</v>
      </c>
      <c r="B422" s="31" t="s">
        <v>28</v>
      </c>
      <c r="C422" s="33">
        <f>SUM(C423)</f>
        <v>130000</v>
      </c>
      <c r="D422" s="33">
        <f t="shared" si="126"/>
        <v>130000</v>
      </c>
      <c r="E422" s="33">
        <f t="shared" si="126"/>
        <v>29575.37</v>
      </c>
      <c r="F422" s="33">
        <f t="shared" si="126"/>
        <v>130000</v>
      </c>
      <c r="G422" s="33">
        <f t="shared" si="126"/>
        <v>0</v>
      </c>
      <c r="H422" s="33">
        <f t="shared" si="126"/>
        <v>70000</v>
      </c>
      <c r="I422" s="33">
        <f t="shared" si="126"/>
        <v>-60000</v>
      </c>
      <c r="J422" s="33">
        <f t="shared" si="126"/>
        <v>0</v>
      </c>
      <c r="K422" s="33">
        <f t="shared" si="126"/>
        <v>0</v>
      </c>
    </row>
    <row r="423" spans="1:11" s="8" customFormat="1">
      <c r="A423" s="27" t="s">
        <v>29</v>
      </c>
      <c r="B423" s="27" t="s">
        <v>30</v>
      </c>
      <c r="C423" s="28">
        <v>130000</v>
      </c>
      <c r="D423" s="28">
        <v>130000</v>
      </c>
      <c r="E423" s="29">
        <v>29575.37</v>
      </c>
      <c r="F423" s="28">
        <v>130000</v>
      </c>
      <c r="G423" s="28"/>
      <c r="H423" s="28">
        <v>70000</v>
      </c>
      <c r="I423" s="28">
        <f t="shared" si="117"/>
        <v>-60000</v>
      </c>
      <c r="J423" s="28"/>
      <c r="K423" s="28"/>
    </row>
    <row r="424" spans="1:11" s="8" customFormat="1">
      <c r="A424" s="30" t="s">
        <v>39</v>
      </c>
      <c r="B424" s="31" t="s">
        <v>40</v>
      </c>
      <c r="C424" s="33">
        <f>SUM(C425:C432)</f>
        <v>550000</v>
      </c>
      <c r="D424" s="33">
        <f t="shared" ref="D424:K424" si="128">SUM(D425:D432)</f>
        <v>550000</v>
      </c>
      <c r="E424" s="33">
        <f t="shared" si="128"/>
        <v>50234.33</v>
      </c>
      <c r="F424" s="33">
        <f t="shared" si="128"/>
        <v>118000</v>
      </c>
      <c r="G424" s="33">
        <f t="shared" si="128"/>
        <v>0</v>
      </c>
      <c r="H424" s="33">
        <f t="shared" si="128"/>
        <v>587000</v>
      </c>
      <c r="I424" s="33">
        <f t="shared" si="128"/>
        <v>37000</v>
      </c>
      <c r="J424" s="33">
        <f t="shared" si="128"/>
        <v>0</v>
      </c>
      <c r="K424" s="33">
        <f t="shared" si="128"/>
        <v>0</v>
      </c>
    </row>
    <row r="425" spans="1:11" s="8" customFormat="1">
      <c r="A425" s="27" t="s">
        <v>41</v>
      </c>
      <c r="B425" s="27" t="s">
        <v>42</v>
      </c>
      <c r="C425" s="28">
        <v>6000</v>
      </c>
      <c r="D425" s="28">
        <v>6000</v>
      </c>
      <c r="E425" s="28"/>
      <c r="F425" s="28">
        <v>6000</v>
      </c>
      <c r="G425" s="28"/>
      <c r="H425" s="28">
        <v>3000</v>
      </c>
      <c r="I425" s="28">
        <f t="shared" si="117"/>
        <v>-3000</v>
      </c>
      <c r="J425" s="28"/>
      <c r="K425" s="28"/>
    </row>
    <row r="426" spans="1:11" s="8" customFormat="1">
      <c r="A426" s="27" t="s">
        <v>45</v>
      </c>
      <c r="B426" s="27" t="s">
        <v>46</v>
      </c>
      <c r="C426" s="28">
        <v>28000</v>
      </c>
      <c r="D426" s="28">
        <v>28000</v>
      </c>
      <c r="E426" s="28"/>
      <c r="F426" s="28"/>
      <c r="G426" s="28"/>
      <c r="H426" s="28">
        <v>40000</v>
      </c>
      <c r="I426" s="28">
        <f t="shared" si="117"/>
        <v>12000</v>
      </c>
      <c r="J426" s="28"/>
      <c r="K426" s="28"/>
    </row>
    <row r="427" spans="1:11" s="8" customFormat="1">
      <c r="A427" s="27" t="s">
        <v>51</v>
      </c>
      <c r="B427" s="27" t="s">
        <v>52</v>
      </c>
      <c r="C427" s="28">
        <v>80000</v>
      </c>
      <c r="D427" s="28">
        <v>80000</v>
      </c>
      <c r="E427" s="28"/>
      <c r="F427" s="28"/>
      <c r="G427" s="28"/>
      <c r="H427" s="28">
        <v>320000</v>
      </c>
      <c r="I427" s="28">
        <f t="shared" si="117"/>
        <v>240000</v>
      </c>
      <c r="J427" s="28"/>
      <c r="K427" s="28"/>
    </row>
    <row r="428" spans="1:11" s="8" customFormat="1">
      <c r="A428" s="27" t="s">
        <v>53</v>
      </c>
      <c r="B428" s="27" t="s">
        <v>54</v>
      </c>
      <c r="C428" s="28">
        <v>80000</v>
      </c>
      <c r="D428" s="28">
        <v>80000</v>
      </c>
      <c r="E428" s="28"/>
      <c r="F428" s="28">
        <v>40000</v>
      </c>
      <c r="G428" s="28"/>
      <c r="H428" s="28">
        <v>80000</v>
      </c>
      <c r="I428" s="28">
        <f t="shared" si="117"/>
        <v>0</v>
      </c>
      <c r="J428" s="28"/>
      <c r="K428" s="28"/>
    </row>
    <row r="429" spans="1:11" s="8" customFormat="1">
      <c r="A429" s="27" t="s">
        <v>57</v>
      </c>
      <c r="B429" s="27" t="s">
        <v>58</v>
      </c>
      <c r="C429" s="28">
        <v>200000</v>
      </c>
      <c r="D429" s="28">
        <v>200000</v>
      </c>
      <c r="E429" s="28"/>
      <c r="F429" s="28"/>
      <c r="G429" s="28"/>
      <c r="H429" s="28"/>
      <c r="I429" s="28">
        <f t="shared" si="117"/>
        <v>-200000</v>
      </c>
      <c r="J429" s="28"/>
      <c r="K429" s="28"/>
    </row>
    <row r="430" spans="1:11" s="8" customFormat="1">
      <c r="A430" s="27" t="s">
        <v>65</v>
      </c>
      <c r="B430" s="27" t="s">
        <v>66</v>
      </c>
      <c r="C430" s="28">
        <v>4000</v>
      </c>
      <c r="D430" s="28">
        <v>4000</v>
      </c>
      <c r="E430" s="28"/>
      <c r="F430" s="28"/>
      <c r="G430" s="28"/>
      <c r="H430" s="28">
        <v>12000</v>
      </c>
      <c r="I430" s="28">
        <f t="shared" si="117"/>
        <v>8000</v>
      </c>
      <c r="J430" s="28"/>
      <c r="K430" s="28"/>
    </row>
    <row r="431" spans="1:11" s="8" customFormat="1">
      <c r="A431" s="27" t="s">
        <v>73</v>
      </c>
      <c r="B431" s="27" t="s">
        <v>74</v>
      </c>
      <c r="C431" s="28">
        <v>120000</v>
      </c>
      <c r="D431" s="28">
        <v>120000</v>
      </c>
      <c r="E431" s="29">
        <v>50234.33</v>
      </c>
      <c r="F431" s="28">
        <v>60000</v>
      </c>
      <c r="G431" s="28"/>
      <c r="H431" s="28">
        <v>84000</v>
      </c>
      <c r="I431" s="28">
        <f t="shared" si="117"/>
        <v>-36000</v>
      </c>
      <c r="J431" s="28"/>
      <c r="K431" s="28"/>
    </row>
    <row r="432" spans="1:11" s="8" customFormat="1">
      <c r="A432" s="27" t="s">
        <v>82</v>
      </c>
      <c r="B432" s="27" t="s">
        <v>83</v>
      </c>
      <c r="C432" s="28">
        <v>32000</v>
      </c>
      <c r="D432" s="28">
        <v>32000</v>
      </c>
      <c r="E432" s="28"/>
      <c r="F432" s="28">
        <v>12000</v>
      </c>
      <c r="G432" s="28"/>
      <c r="H432" s="28">
        <v>48000</v>
      </c>
      <c r="I432" s="28">
        <f t="shared" si="117"/>
        <v>16000</v>
      </c>
      <c r="J432" s="28"/>
      <c r="K432" s="28"/>
    </row>
    <row r="433" spans="1:11" s="8" customFormat="1">
      <c r="A433" s="30" t="s">
        <v>116</v>
      </c>
      <c r="B433" s="31" t="s">
        <v>117</v>
      </c>
      <c r="C433" s="33">
        <f>SUM(C434:C436)</f>
        <v>12400000</v>
      </c>
      <c r="D433" s="33">
        <f t="shared" ref="D433:K433" si="129">SUM(D434:D436)</f>
        <v>12400000</v>
      </c>
      <c r="E433" s="33">
        <f t="shared" si="129"/>
        <v>81050</v>
      </c>
      <c r="F433" s="33">
        <f t="shared" si="129"/>
        <v>1600000</v>
      </c>
      <c r="G433" s="33">
        <f t="shared" si="129"/>
        <v>0</v>
      </c>
      <c r="H433" s="33">
        <f t="shared" si="129"/>
        <v>16624000</v>
      </c>
      <c r="I433" s="33">
        <f t="shared" si="129"/>
        <v>4224000</v>
      </c>
      <c r="J433" s="33">
        <f t="shared" si="129"/>
        <v>0</v>
      </c>
      <c r="K433" s="33">
        <f t="shared" si="129"/>
        <v>0</v>
      </c>
    </row>
    <row r="434" spans="1:11" s="8" customFormat="1">
      <c r="A434" s="27" t="s">
        <v>118</v>
      </c>
      <c r="B434" s="27" t="s">
        <v>119</v>
      </c>
      <c r="C434" s="28">
        <v>6000000</v>
      </c>
      <c r="D434" s="28">
        <v>6000000</v>
      </c>
      <c r="E434" s="28"/>
      <c r="F434" s="28">
        <v>800000</v>
      </c>
      <c r="G434" s="28"/>
      <c r="H434" s="28">
        <v>24000</v>
      </c>
      <c r="I434" s="28">
        <f t="shared" si="117"/>
        <v>-5976000</v>
      </c>
      <c r="J434" s="28"/>
      <c r="K434" s="28"/>
    </row>
    <row r="435" spans="1:11" s="8" customFormat="1">
      <c r="A435" s="27" t="s">
        <v>124</v>
      </c>
      <c r="B435" s="27" t="s">
        <v>125</v>
      </c>
      <c r="C435" s="28">
        <v>6000000</v>
      </c>
      <c r="D435" s="28">
        <v>6000000</v>
      </c>
      <c r="E435" s="29">
        <v>81050</v>
      </c>
      <c r="F435" s="28">
        <v>800000</v>
      </c>
      <c r="G435" s="28"/>
      <c r="H435" s="28">
        <v>16000000</v>
      </c>
      <c r="I435" s="28">
        <f t="shared" si="117"/>
        <v>10000000</v>
      </c>
      <c r="J435" s="28"/>
      <c r="K435" s="28"/>
    </row>
    <row r="436" spans="1:11" s="8" customFormat="1">
      <c r="A436" s="27" t="s">
        <v>160</v>
      </c>
      <c r="B436" s="27" t="s">
        <v>161</v>
      </c>
      <c r="C436" s="28">
        <v>400000</v>
      </c>
      <c r="D436" s="28">
        <v>400000</v>
      </c>
      <c r="E436" s="28"/>
      <c r="F436" s="28"/>
      <c r="G436" s="28"/>
      <c r="H436" s="28">
        <v>600000</v>
      </c>
      <c r="I436" s="28">
        <f t="shared" si="117"/>
        <v>200000</v>
      </c>
      <c r="J436" s="28"/>
      <c r="K436" s="28"/>
    </row>
    <row r="437" spans="1:11" s="8" customFormat="1">
      <c r="A437" s="30" t="s">
        <v>134</v>
      </c>
      <c r="B437" s="31" t="s">
        <v>135</v>
      </c>
      <c r="C437" s="33">
        <f>SUM(C438)</f>
        <v>800000</v>
      </c>
      <c r="D437" s="33">
        <f t="shared" ref="D437:K437" si="130">SUM(D438)</f>
        <v>800000</v>
      </c>
      <c r="E437" s="33">
        <f t="shared" si="130"/>
        <v>0</v>
      </c>
      <c r="F437" s="33">
        <f t="shared" si="130"/>
        <v>0</v>
      </c>
      <c r="G437" s="33">
        <f t="shared" si="130"/>
        <v>0</v>
      </c>
      <c r="H437" s="33">
        <f t="shared" si="130"/>
        <v>960000</v>
      </c>
      <c r="I437" s="33">
        <f t="shared" si="130"/>
        <v>160000</v>
      </c>
      <c r="J437" s="33">
        <f t="shared" si="130"/>
        <v>0</v>
      </c>
      <c r="K437" s="33">
        <f t="shared" si="130"/>
        <v>0</v>
      </c>
    </row>
    <row r="438" spans="1:11" s="8" customFormat="1">
      <c r="A438" s="27" t="s">
        <v>137</v>
      </c>
      <c r="B438" s="27" t="s">
        <v>136</v>
      </c>
      <c r="C438" s="28">
        <v>800000</v>
      </c>
      <c r="D438" s="28">
        <v>800000</v>
      </c>
      <c r="E438" s="28"/>
      <c r="F438" s="28"/>
      <c r="G438" s="28"/>
      <c r="H438" s="28">
        <v>960000</v>
      </c>
      <c r="I438" s="28">
        <f t="shared" si="117"/>
        <v>160000</v>
      </c>
      <c r="J438" s="28"/>
      <c r="K438" s="28"/>
    </row>
    <row r="439" spans="1:11" s="19" customFormat="1" ht="20.399999999999999">
      <c r="A439" s="91" t="s">
        <v>236</v>
      </c>
      <c r="B439" s="92" t="s">
        <v>237</v>
      </c>
      <c r="C439" s="15">
        <f>SUM(C440)</f>
        <v>20000</v>
      </c>
      <c r="D439" s="15">
        <f t="shared" ref="D439:K441" si="131">SUM(D440)</f>
        <v>20000</v>
      </c>
      <c r="E439" s="15">
        <f t="shared" si="131"/>
        <v>0</v>
      </c>
      <c r="F439" s="15">
        <f t="shared" si="131"/>
        <v>20000</v>
      </c>
      <c r="G439" s="15">
        <f t="shared" si="131"/>
        <v>20000</v>
      </c>
      <c r="H439" s="15">
        <f t="shared" si="131"/>
        <v>0</v>
      </c>
      <c r="I439" s="15">
        <f t="shared" si="131"/>
        <v>-20000</v>
      </c>
      <c r="J439" s="15">
        <f t="shared" si="131"/>
        <v>0</v>
      </c>
      <c r="K439" s="15">
        <f t="shared" si="131"/>
        <v>0</v>
      </c>
    </row>
    <row r="440" spans="1:11" s="8" customFormat="1" ht="20.399999999999999">
      <c r="A440" s="83" t="s">
        <v>311</v>
      </c>
      <c r="B440" s="84" t="s">
        <v>312</v>
      </c>
      <c r="C440" s="85">
        <f>SUM(C441)</f>
        <v>20000</v>
      </c>
      <c r="D440" s="85">
        <f t="shared" si="131"/>
        <v>20000</v>
      </c>
      <c r="E440" s="85">
        <f t="shared" si="131"/>
        <v>0</v>
      </c>
      <c r="F440" s="85">
        <f t="shared" si="131"/>
        <v>20000</v>
      </c>
      <c r="G440" s="85">
        <f t="shared" si="131"/>
        <v>20000</v>
      </c>
      <c r="H440" s="85">
        <f t="shared" si="131"/>
        <v>0</v>
      </c>
      <c r="I440" s="85">
        <f t="shared" si="131"/>
        <v>-20000</v>
      </c>
      <c r="J440" s="85">
        <f t="shared" si="131"/>
        <v>0</v>
      </c>
      <c r="K440" s="85">
        <f t="shared" si="131"/>
        <v>0</v>
      </c>
    </row>
    <row r="441" spans="1:11" s="8" customFormat="1">
      <c r="A441" s="30" t="s">
        <v>39</v>
      </c>
      <c r="B441" s="31" t="s">
        <v>40</v>
      </c>
      <c r="C441" s="33">
        <f>SUM(C442)</f>
        <v>20000</v>
      </c>
      <c r="D441" s="33">
        <f t="shared" si="131"/>
        <v>20000</v>
      </c>
      <c r="E441" s="33">
        <f t="shared" si="131"/>
        <v>0</v>
      </c>
      <c r="F441" s="33">
        <f t="shared" si="131"/>
        <v>20000</v>
      </c>
      <c r="G441" s="33">
        <f t="shared" si="131"/>
        <v>20000</v>
      </c>
      <c r="H441" s="33">
        <f t="shared" si="131"/>
        <v>0</v>
      </c>
      <c r="I441" s="33">
        <f t="shared" si="131"/>
        <v>-20000</v>
      </c>
      <c r="J441" s="33">
        <f t="shared" si="131"/>
        <v>0</v>
      </c>
      <c r="K441" s="33">
        <f t="shared" si="131"/>
        <v>0</v>
      </c>
    </row>
    <row r="442" spans="1:11" s="8" customFormat="1">
      <c r="A442" s="27" t="s">
        <v>45</v>
      </c>
      <c r="B442" s="27" t="s">
        <v>46</v>
      </c>
      <c r="C442" s="28">
        <v>20000</v>
      </c>
      <c r="D442" s="28">
        <v>20000</v>
      </c>
      <c r="E442" s="28"/>
      <c r="F442" s="28">
        <v>20000</v>
      </c>
      <c r="G442" s="28">
        <v>20000</v>
      </c>
      <c r="H442" s="28"/>
      <c r="I442" s="28">
        <f t="shared" si="117"/>
        <v>-20000</v>
      </c>
      <c r="J442" s="28"/>
      <c r="K442" s="28"/>
    </row>
    <row r="443" spans="1:11" s="19" customFormat="1" ht="30.6">
      <c r="A443" s="91" t="s">
        <v>238</v>
      </c>
      <c r="B443" s="92" t="s">
        <v>239</v>
      </c>
      <c r="C443" s="15">
        <f>SUM(C444,C457)</f>
        <v>232500</v>
      </c>
      <c r="D443" s="15">
        <f t="shared" ref="D443:K443" si="132">SUM(D444,D457)</f>
        <v>232500</v>
      </c>
      <c r="E443" s="15">
        <f t="shared" si="132"/>
        <v>1767.15</v>
      </c>
      <c r="F443" s="15">
        <f t="shared" si="132"/>
        <v>20500</v>
      </c>
      <c r="G443" s="15">
        <f t="shared" si="132"/>
        <v>22500</v>
      </c>
      <c r="H443" s="15">
        <f t="shared" si="132"/>
        <v>117000</v>
      </c>
      <c r="I443" s="15">
        <f t="shared" si="132"/>
        <v>-115500</v>
      </c>
      <c r="J443" s="15">
        <f t="shared" si="132"/>
        <v>47000</v>
      </c>
      <c r="K443" s="15">
        <f t="shared" si="132"/>
        <v>0</v>
      </c>
    </row>
    <row r="444" spans="1:11" s="8" customFormat="1">
      <c r="A444" s="61" t="s">
        <v>126</v>
      </c>
      <c r="B444" s="62" t="s">
        <v>127</v>
      </c>
      <c r="C444" s="63">
        <f>SUM(C445,C447,C454)</f>
        <v>0</v>
      </c>
      <c r="D444" s="63">
        <f t="shared" ref="D444:K444" si="133">SUM(D445,D447,D454)</f>
        <v>0</v>
      </c>
      <c r="E444" s="63">
        <f t="shared" si="133"/>
        <v>1767.15</v>
      </c>
      <c r="F444" s="63">
        <f t="shared" si="133"/>
        <v>0</v>
      </c>
      <c r="G444" s="63">
        <f t="shared" si="133"/>
        <v>0</v>
      </c>
      <c r="H444" s="63">
        <f t="shared" si="133"/>
        <v>0</v>
      </c>
      <c r="I444" s="63">
        <f t="shared" si="133"/>
        <v>0</v>
      </c>
      <c r="J444" s="63">
        <f t="shared" si="133"/>
        <v>0</v>
      </c>
      <c r="K444" s="63">
        <f t="shared" si="133"/>
        <v>0</v>
      </c>
    </row>
    <row r="445" spans="1:11" s="8" customFormat="1">
      <c r="A445" s="30" t="s">
        <v>27</v>
      </c>
      <c r="B445" s="31" t="s">
        <v>28</v>
      </c>
      <c r="C445" s="32">
        <f>SUM(C446)</f>
        <v>0</v>
      </c>
      <c r="D445" s="32">
        <f t="shared" ref="D445:K445" si="134">SUM(D446)</f>
        <v>0</v>
      </c>
      <c r="E445" s="32">
        <f t="shared" si="134"/>
        <v>0</v>
      </c>
      <c r="F445" s="32">
        <f t="shared" si="134"/>
        <v>0</v>
      </c>
      <c r="G445" s="32">
        <f t="shared" si="134"/>
        <v>0</v>
      </c>
      <c r="H445" s="32">
        <f t="shared" si="134"/>
        <v>0</v>
      </c>
      <c r="I445" s="32">
        <f t="shared" si="134"/>
        <v>0</v>
      </c>
      <c r="J445" s="32">
        <f t="shared" si="134"/>
        <v>0</v>
      </c>
      <c r="K445" s="32">
        <f t="shared" si="134"/>
        <v>0</v>
      </c>
    </row>
    <row r="446" spans="1:11" s="8" customFormat="1">
      <c r="A446" s="27" t="s">
        <v>29</v>
      </c>
      <c r="B446" s="27" t="s">
        <v>30</v>
      </c>
      <c r="C446" s="100"/>
      <c r="D446" s="100"/>
      <c r="E446" s="100"/>
      <c r="F446" s="100"/>
      <c r="G446" s="100"/>
      <c r="H446" s="100"/>
      <c r="I446" s="100">
        <f t="shared" si="117"/>
        <v>0</v>
      </c>
      <c r="J446" s="100"/>
      <c r="K446" s="100"/>
    </row>
    <row r="447" spans="1:11" s="8" customFormat="1">
      <c r="A447" s="30" t="s">
        <v>39</v>
      </c>
      <c r="B447" s="31" t="s">
        <v>40</v>
      </c>
      <c r="C447" s="33">
        <f>SUM(C448:C453)</f>
        <v>0</v>
      </c>
      <c r="D447" s="33">
        <f t="shared" ref="D447:K447" si="135">SUM(D448:D453)</f>
        <v>0</v>
      </c>
      <c r="E447" s="33">
        <f t="shared" si="135"/>
        <v>1767.15</v>
      </c>
      <c r="F447" s="33">
        <f t="shared" si="135"/>
        <v>0</v>
      </c>
      <c r="G447" s="33">
        <f t="shared" si="135"/>
        <v>0</v>
      </c>
      <c r="H447" s="33">
        <f t="shared" si="135"/>
        <v>0</v>
      </c>
      <c r="I447" s="33">
        <f t="shared" si="135"/>
        <v>0</v>
      </c>
      <c r="J447" s="33">
        <f t="shared" si="135"/>
        <v>0</v>
      </c>
      <c r="K447" s="33">
        <f t="shared" si="135"/>
        <v>0</v>
      </c>
    </row>
    <row r="448" spans="1:11" s="8" customFormat="1">
      <c r="A448" s="27" t="s">
        <v>41</v>
      </c>
      <c r="B448" s="27" t="s">
        <v>42</v>
      </c>
      <c r="C448" s="100"/>
      <c r="D448" s="100"/>
      <c r="E448" s="100"/>
      <c r="F448" s="100"/>
      <c r="G448" s="100"/>
      <c r="H448" s="100"/>
      <c r="I448" s="100">
        <f t="shared" si="117"/>
        <v>0</v>
      </c>
      <c r="J448" s="100"/>
      <c r="K448" s="100"/>
    </row>
    <row r="449" spans="1:11" s="8" customFormat="1">
      <c r="A449" s="27" t="s">
        <v>45</v>
      </c>
      <c r="B449" s="27" t="s">
        <v>46</v>
      </c>
      <c r="C449" s="100"/>
      <c r="D449" s="100"/>
      <c r="E449" s="100"/>
      <c r="F449" s="100"/>
      <c r="G449" s="100"/>
      <c r="H449" s="100"/>
      <c r="I449" s="100">
        <f t="shared" si="117"/>
        <v>0</v>
      </c>
      <c r="J449" s="100"/>
      <c r="K449" s="100"/>
    </row>
    <row r="450" spans="1:11" s="8" customFormat="1">
      <c r="A450" s="27" t="s">
        <v>49</v>
      </c>
      <c r="B450" s="27" t="s">
        <v>50</v>
      </c>
      <c r="C450" s="100"/>
      <c r="D450" s="100"/>
      <c r="E450" s="100"/>
      <c r="F450" s="100"/>
      <c r="G450" s="100"/>
      <c r="H450" s="100"/>
      <c r="I450" s="100">
        <f t="shared" si="117"/>
        <v>0</v>
      </c>
      <c r="J450" s="100"/>
      <c r="K450" s="100"/>
    </row>
    <row r="451" spans="1:11" s="8" customFormat="1">
      <c r="A451" s="27" t="s">
        <v>69</v>
      </c>
      <c r="B451" s="27" t="s">
        <v>70</v>
      </c>
      <c r="C451" s="100"/>
      <c r="D451" s="100"/>
      <c r="E451" s="100"/>
      <c r="F451" s="100"/>
      <c r="G451" s="100"/>
      <c r="H451" s="100"/>
      <c r="I451" s="100">
        <f t="shared" si="117"/>
        <v>0</v>
      </c>
      <c r="J451" s="100"/>
      <c r="K451" s="100"/>
    </row>
    <row r="452" spans="1:11" s="8" customFormat="1">
      <c r="A452" s="27" t="s">
        <v>75</v>
      </c>
      <c r="B452" s="27" t="s">
        <v>76</v>
      </c>
      <c r="C452" s="28"/>
      <c r="D452" s="28"/>
      <c r="E452" s="29">
        <v>1767.15</v>
      </c>
      <c r="F452" s="28"/>
      <c r="G452" s="28"/>
      <c r="H452" s="28"/>
      <c r="I452" s="28">
        <f t="shared" si="117"/>
        <v>0</v>
      </c>
      <c r="J452" s="28"/>
      <c r="K452" s="28"/>
    </row>
    <row r="453" spans="1:11" s="8" customFormat="1">
      <c r="A453" s="27">
        <v>3293</v>
      </c>
      <c r="B453" s="27" t="s">
        <v>85</v>
      </c>
      <c r="C453" s="28"/>
      <c r="D453" s="28"/>
      <c r="E453" s="29"/>
      <c r="F453" s="28"/>
      <c r="G453" s="28"/>
      <c r="H453" s="28"/>
      <c r="I453" s="28">
        <f t="shared" si="117"/>
        <v>0</v>
      </c>
      <c r="J453" s="28"/>
      <c r="K453" s="28"/>
    </row>
    <row r="454" spans="1:11" s="8" customFormat="1">
      <c r="A454" s="30" t="s">
        <v>116</v>
      </c>
      <c r="B454" s="31" t="s">
        <v>117</v>
      </c>
      <c r="C454" s="33">
        <f>SUM(C455:C456)</f>
        <v>0</v>
      </c>
      <c r="D454" s="33">
        <f t="shared" ref="D454:K454" si="136">SUM(D455:D456)</f>
        <v>0</v>
      </c>
      <c r="E454" s="33">
        <f t="shared" si="136"/>
        <v>0</v>
      </c>
      <c r="F454" s="33">
        <f t="shared" si="136"/>
        <v>0</v>
      </c>
      <c r="G454" s="33">
        <f t="shared" si="136"/>
        <v>0</v>
      </c>
      <c r="H454" s="33">
        <f t="shared" si="136"/>
        <v>0</v>
      </c>
      <c r="I454" s="33">
        <f t="shared" si="136"/>
        <v>0</v>
      </c>
      <c r="J454" s="33">
        <f t="shared" si="136"/>
        <v>0</v>
      </c>
      <c r="K454" s="33">
        <f t="shared" si="136"/>
        <v>0</v>
      </c>
    </row>
    <row r="455" spans="1:11" s="8" customFormat="1">
      <c r="A455" s="27" t="s">
        <v>118</v>
      </c>
      <c r="B455" s="27" t="s">
        <v>119</v>
      </c>
      <c r="C455" s="28"/>
      <c r="D455" s="28"/>
      <c r="E455" s="28"/>
      <c r="F455" s="28"/>
      <c r="G455" s="28"/>
      <c r="H455" s="28"/>
      <c r="I455" s="28">
        <f t="shared" ref="I455:I456" si="137">H455-D455</f>
        <v>0</v>
      </c>
      <c r="J455" s="28"/>
      <c r="K455" s="28"/>
    </row>
    <row r="456" spans="1:11" s="8" customFormat="1">
      <c r="A456" s="27" t="s">
        <v>160</v>
      </c>
      <c r="B456" s="27" t="s">
        <v>161</v>
      </c>
      <c r="C456" s="28"/>
      <c r="D456" s="28"/>
      <c r="E456" s="28"/>
      <c r="F456" s="41"/>
      <c r="G456" s="28"/>
      <c r="H456" s="41"/>
      <c r="I456" s="28">
        <f t="shared" si="137"/>
        <v>0</v>
      </c>
      <c r="J456" s="28"/>
      <c r="K456" s="28"/>
    </row>
    <row r="457" spans="1:11" s="8" customFormat="1" ht="20.399999999999999">
      <c r="A457" s="83" t="s">
        <v>311</v>
      </c>
      <c r="B457" s="84" t="s">
        <v>312</v>
      </c>
      <c r="C457" s="85">
        <f>SUM(C458,C460,C471)</f>
        <v>232500</v>
      </c>
      <c r="D457" s="85">
        <f t="shared" ref="D457:K457" si="138">SUM(D458,D460,D471)</f>
        <v>232500</v>
      </c>
      <c r="E457" s="85">
        <f t="shared" si="138"/>
        <v>0</v>
      </c>
      <c r="F457" s="85">
        <f t="shared" si="138"/>
        <v>20500</v>
      </c>
      <c r="G457" s="85">
        <f t="shared" si="138"/>
        <v>22500</v>
      </c>
      <c r="H457" s="85">
        <f t="shared" si="138"/>
        <v>117000</v>
      </c>
      <c r="I457" s="85">
        <f t="shared" si="138"/>
        <v>-115500</v>
      </c>
      <c r="J457" s="85">
        <f t="shared" si="138"/>
        <v>47000</v>
      </c>
      <c r="K457" s="85">
        <f t="shared" si="138"/>
        <v>0</v>
      </c>
    </row>
    <row r="458" spans="1:11" s="8" customFormat="1">
      <c r="A458" s="30" t="s">
        <v>27</v>
      </c>
      <c r="B458" s="31" t="s">
        <v>28</v>
      </c>
      <c r="C458" s="33">
        <f>SUM(C459)</f>
        <v>25500</v>
      </c>
      <c r="D458" s="33">
        <f t="shared" ref="D458:K458" si="139">SUM(D459)</f>
        <v>25500</v>
      </c>
      <c r="E458" s="33">
        <f t="shared" si="139"/>
        <v>0</v>
      </c>
      <c r="F458" s="33">
        <f t="shared" si="139"/>
        <v>8000</v>
      </c>
      <c r="G458" s="33">
        <f t="shared" si="139"/>
        <v>5500</v>
      </c>
      <c r="H458" s="33">
        <f t="shared" si="139"/>
        <v>5000</v>
      </c>
      <c r="I458" s="33">
        <f t="shared" si="139"/>
        <v>-20500</v>
      </c>
      <c r="J458" s="33">
        <f t="shared" si="139"/>
        <v>5000</v>
      </c>
      <c r="K458" s="33">
        <f t="shared" si="139"/>
        <v>0</v>
      </c>
    </row>
    <row r="459" spans="1:11" s="8" customFormat="1">
      <c r="A459" s="27" t="s">
        <v>29</v>
      </c>
      <c r="B459" s="27" t="s">
        <v>30</v>
      </c>
      <c r="C459" s="28">
        <v>25500</v>
      </c>
      <c r="D459" s="28">
        <v>25500</v>
      </c>
      <c r="E459" s="28"/>
      <c r="F459" s="28">
        <v>8000</v>
      </c>
      <c r="G459" s="28">
        <v>5500</v>
      </c>
      <c r="H459" s="28">
        <v>5000</v>
      </c>
      <c r="I459" s="28">
        <f t="shared" si="117"/>
        <v>-20500</v>
      </c>
      <c r="J459" s="28">
        <v>5000</v>
      </c>
      <c r="K459" s="28"/>
    </row>
    <row r="460" spans="1:11" s="8" customFormat="1">
      <c r="A460" s="30" t="s">
        <v>39</v>
      </c>
      <c r="B460" s="31" t="s">
        <v>40</v>
      </c>
      <c r="C460" s="33">
        <f>SUM(C461:C470)</f>
        <v>58000</v>
      </c>
      <c r="D460" s="33">
        <f t="shared" ref="D460:K460" si="140">SUM(D461:D470)</f>
        <v>58000</v>
      </c>
      <c r="E460" s="33">
        <f t="shared" si="140"/>
        <v>0</v>
      </c>
      <c r="F460" s="33">
        <f t="shared" si="140"/>
        <v>12500</v>
      </c>
      <c r="G460" s="33">
        <f t="shared" si="140"/>
        <v>17000</v>
      </c>
      <c r="H460" s="33">
        <f t="shared" si="140"/>
        <v>31000</v>
      </c>
      <c r="I460" s="33">
        <f t="shared" si="140"/>
        <v>-27000</v>
      </c>
      <c r="J460" s="33">
        <f t="shared" si="140"/>
        <v>33000</v>
      </c>
      <c r="K460" s="33">
        <f t="shared" si="140"/>
        <v>0</v>
      </c>
    </row>
    <row r="461" spans="1:11" s="8" customFormat="1">
      <c r="A461" s="27" t="s">
        <v>41</v>
      </c>
      <c r="B461" s="27" t="s">
        <v>42</v>
      </c>
      <c r="C461" s="28">
        <v>2500</v>
      </c>
      <c r="D461" s="28">
        <v>2500</v>
      </c>
      <c r="E461" s="28"/>
      <c r="F461" s="28">
        <v>2500</v>
      </c>
      <c r="G461" s="28">
        <v>2000</v>
      </c>
      <c r="H461" s="28">
        <v>16000</v>
      </c>
      <c r="I461" s="28">
        <f t="shared" si="117"/>
        <v>13500</v>
      </c>
      <c r="J461" s="28">
        <v>16000</v>
      </c>
      <c r="K461" s="28"/>
    </row>
    <row r="462" spans="1:11" s="8" customFormat="1">
      <c r="A462" s="27" t="s">
        <v>45</v>
      </c>
      <c r="B462" s="27" t="s">
        <v>46</v>
      </c>
      <c r="C462" s="28">
        <v>11000</v>
      </c>
      <c r="D462" s="28">
        <v>11000</v>
      </c>
      <c r="E462" s="28"/>
      <c r="F462" s="28"/>
      <c r="G462" s="28"/>
      <c r="H462" s="28">
        <v>12000</v>
      </c>
      <c r="I462" s="28">
        <f t="shared" si="117"/>
        <v>1000</v>
      </c>
      <c r="J462" s="28"/>
      <c r="K462" s="28"/>
    </row>
    <row r="463" spans="1:11" s="8" customFormat="1">
      <c r="A463" s="27" t="s">
        <v>49</v>
      </c>
      <c r="B463" s="27" t="s">
        <v>50</v>
      </c>
      <c r="C463" s="28">
        <v>2000</v>
      </c>
      <c r="D463" s="28">
        <v>2000</v>
      </c>
      <c r="E463" s="28"/>
      <c r="F463" s="28">
        <v>1000</v>
      </c>
      <c r="G463" s="28">
        <v>1000</v>
      </c>
      <c r="H463" s="28">
        <v>3000</v>
      </c>
      <c r="I463" s="28">
        <f t="shared" si="117"/>
        <v>1000</v>
      </c>
      <c r="J463" s="28">
        <v>3000</v>
      </c>
      <c r="K463" s="28"/>
    </row>
    <row r="464" spans="1:11" s="8" customFormat="1">
      <c r="A464" s="27" t="s">
        <v>53</v>
      </c>
      <c r="B464" s="27" t="s">
        <v>54</v>
      </c>
      <c r="C464" s="28">
        <v>1500</v>
      </c>
      <c r="D464" s="28">
        <v>1500</v>
      </c>
      <c r="E464" s="28"/>
      <c r="F464" s="28">
        <v>1500</v>
      </c>
      <c r="G464" s="28">
        <v>1500</v>
      </c>
      <c r="H464" s="28"/>
      <c r="I464" s="28">
        <f t="shared" si="117"/>
        <v>-1500</v>
      </c>
      <c r="J464" s="28"/>
      <c r="K464" s="28"/>
    </row>
    <row r="465" spans="1:11" s="8" customFormat="1">
      <c r="A465" s="27" t="s">
        <v>65</v>
      </c>
      <c r="B465" s="27" t="s">
        <v>66</v>
      </c>
      <c r="C465" s="28">
        <v>14500</v>
      </c>
      <c r="D465" s="28">
        <v>14500</v>
      </c>
      <c r="E465" s="28"/>
      <c r="F465" s="28"/>
      <c r="G465" s="28"/>
      <c r="H465" s="28"/>
      <c r="I465" s="28">
        <f t="shared" si="117"/>
        <v>-14500</v>
      </c>
      <c r="J465" s="28"/>
      <c r="K465" s="28"/>
    </row>
    <row r="466" spans="1:11" s="8" customFormat="1">
      <c r="A466" s="27" t="s">
        <v>69</v>
      </c>
      <c r="B466" s="27" t="s">
        <v>70</v>
      </c>
      <c r="C466" s="41">
        <v>0</v>
      </c>
      <c r="D466" s="41">
        <v>0</v>
      </c>
      <c r="E466" s="28"/>
      <c r="F466" s="28">
        <v>3000</v>
      </c>
      <c r="G466" s="28"/>
      <c r="H466" s="28"/>
      <c r="I466" s="28">
        <f t="shared" si="117"/>
        <v>0</v>
      </c>
      <c r="J466" s="28">
        <v>7000</v>
      </c>
      <c r="K466" s="28"/>
    </row>
    <row r="467" spans="1:11" s="8" customFormat="1">
      <c r="A467" s="27" t="s">
        <v>73</v>
      </c>
      <c r="B467" s="27" t="s">
        <v>74</v>
      </c>
      <c r="C467" s="28">
        <v>22500</v>
      </c>
      <c r="D467" s="28">
        <v>22500</v>
      </c>
      <c r="E467" s="28"/>
      <c r="F467" s="28"/>
      <c r="G467" s="28"/>
      <c r="H467" s="28"/>
      <c r="I467" s="28">
        <f t="shared" si="117"/>
        <v>-22500</v>
      </c>
      <c r="J467" s="28"/>
      <c r="K467" s="28"/>
    </row>
    <row r="468" spans="1:11" s="8" customFormat="1">
      <c r="A468" s="27" t="s">
        <v>75</v>
      </c>
      <c r="B468" s="27" t="s">
        <v>76</v>
      </c>
      <c r="C468" s="28"/>
      <c r="D468" s="28"/>
      <c r="E468" s="28"/>
      <c r="F468" s="28">
        <v>1000</v>
      </c>
      <c r="G468" s="28"/>
      <c r="H468" s="28"/>
      <c r="I468" s="28">
        <f t="shared" si="117"/>
        <v>0</v>
      </c>
      <c r="J468" s="28"/>
      <c r="K468" s="28"/>
    </row>
    <row r="469" spans="1:11" s="8" customFormat="1">
      <c r="A469" s="27" t="s">
        <v>78</v>
      </c>
      <c r="B469" s="27" t="s">
        <v>77</v>
      </c>
      <c r="C469" s="28"/>
      <c r="D469" s="28"/>
      <c r="E469" s="28"/>
      <c r="F469" s="28">
        <v>3500</v>
      </c>
      <c r="G469" s="28">
        <v>4000</v>
      </c>
      <c r="H469" s="28"/>
      <c r="I469" s="28">
        <f t="shared" si="117"/>
        <v>0</v>
      </c>
      <c r="J469" s="28"/>
      <c r="K469" s="28"/>
    </row>
    <row r="470" spans="1:11" s="8" customFormat="1">
      <c r="A470" s="27" t="s">
        <v>84</v>
      </c>
      <c r="B470" s="27" t="s">
        <v>85</v>
      </c>
      <c r="C470" s="28">
        <v>4000</v>
      </c>
      <c r="D470" s="28">
        <v>4000</v>
      </c>
      <c r="E470" s="28"/>
      <c r="F470" s="41">
        <v>0</v>
      </c>
      <c r="G470" s="28">
        <v>8500</v>
      </c>
      <c r="H470" s="41"/>
      <c r="I470" s="28">
        <f t="shared" si="117"/>
        <v>-4000</v>
      </c>
      <c r="J470" s="28">
        <v>7000</v>
      </c>
      <c r="K470" s="28"/>
    </row>
    <row r="471" spans="1:11" s="8" customFormat="1">
      <c r="A471" s="30" t="s">
        <v>116</v>
      </c>
      <c r="B471" s="31" t="s">
        <v>117</v>
      </c>
      <c r="C471" s="33">
        <f>SUM(C472:C474)</f>
        <v>149000</v>
      </c>
      <c r="D471" s="33">
        <f t="shared" ref="D471:K471" si="141">SUM(D472:D474)</f>
        <v>149000</v>
      </c>
      <c r="E471" s="33">
        <f t="shared" si="141"/>
        <v>0</v>
      </c>
      <c r="F471" s="33">
        <f t="shared" si="141"/>
        <v>0</v>
      </c>
      <c r="G471" s="33">
        <f t="shared" si="141"/>
        <v>0</v>
      </c>
      <c r="H471" s="33">
        <f t="shared" si="141"/>
        <v>81000</v>
      </c>
      <c r="I471" s="33">
        <f t="shared" si="141"/>
        <v>-68000</v>
      </c>
      <c r="J471" s="33">
        <f t="shared" si="141"/>
        <v>9000</v>
      </c>
      <c r="K471" s="33">
        <f t="shared" si="141"/>
        <v>0</v>
      </c>
    </row>
    <row r="472" spans="1:11" s="8" customFormat="1">
      <c r="A472" s="27" t="s">
        <v>118</v>
      </c>
      <c r="B472" s="27" t="s">
        <v>119</v>
      </c>
      <c r="C472" s="28">
        <v>60000</v>
      </c>
      <c r="D472" s="28">
        <v>60000</v>
      </c>
      <c r="E472" s="28"/>
      <c r="F472" s="28"/>
      <c r="G472" s="28"/>
      <c r="H472" s="28">
        <v>9000</v>
      </c>
      <c r="I472" s="28">
        <f t="shared" ref="I472:I535" si="142">H472-D472</f>
        <v>-51000</v>
      </c>
      <c r="J472" s="28">
        <v>9000</v>
      </c>
      <c r="K472" s="28"/>
    </row>
    <row r="473" spans="1:11" s="8" customFormat="1">
      <c r="A473" s="27" t="s">
        <v>124</v>
      </c>
      <c r="B473" s="27" t="s">
        <v>125</v>
      </c>
      <c r="C473" s="28">
        <v>15500</v>
      </c>
      <c r="D473" s="28">
        <v>15500</v>
      </c>
      <c r="E473" s="28"/>
      <c r="F473" s="28"/>
      <c r="G473" s="28"/>
      <c r="H473" s="28"/>
      <c r="I473" s="28">
        <f t="shared" si="142"/>
        <v>-15500</v>
      </c>
      <c r="J473" s="28"/>
      <c r="K473" s="28"/>
    </row>
    <row r="474" spans="1:11" s="8" customFormat="1">
      <c r="A474" s="27" t="s">
        <v>160</v>
      </c>
      <c r="B474" s="27" t="s">
        <v>161</v>
      </c>
      <c r="C474" s="28">
        <v>73500</v>
      </c>
      <c r="D474" s="28">
        <v>73500</v>
      </c>
      <c r="E474" s="28"/>
      <c r="F474" s="41">
        <v>0</v>
      </c>
      <c r="G474" s="28"/>
      <c r="H474" s="127">
        <v>72000</v>
      </c>
      <c r="I474" s="28">
        <f t="shared" si="142"/>
        <v>-1500</v>
      </c>
      <c r="J474" s="28"/>
      <c r="K474" s="28"/>
    </row>
    <row r="475" spans="1:11" s="19" customFormat="1" ht="20.399999999999999">
      <c r="A475" s="91" t="s">
        <v>240</v>
      </c>
      <c r="B475" s="92" t="s">
        <v>241</v>
      </c>
      <c r="C475" s="15">
        <f>SUM(C476)</f>
        <v>10000</v>
      </c>
      <c r="D475" s="15">
        <f t="shared" ref="D475:K476" si="143">SUM(D476)</f>
        <v>10000</v>
      </c>
      <c r="E475" s="15">
        <f t="shared" si="143"/>
        <v>0</v>
      </c>
      <c r="F475" s="15">
        <f t="shared" si="143"/>
        <v>10000</v>
      </c>
      <c r="G475" s="15">
        <f t="shared" si="143"/>
        <v>10000</v>
      </c>
      <c r="H475" s="15">
        <f t="shared" si="143"/>
        <v>0</v>
      </c>
      <c r="I475" s="15">
        <f t="shared" si="143"/>
        <v>-10000</v>
      </c>
      <c r="J475" s="15">
        <f t="shared" si="143"/>
        <v>0</v>
      </c>
      <c r="K475" s="15">
        <f t="shared" si="143"/>
        <v>0</v>
      </c>
    </row>
    <row r="476" spans="1:11" s="8" customFormat="1">
      <c r="A476" s="70" t="s">
        <v>27</v>
      </c>
      <c r="B476" s="71" t="s">
        <v>107</v>
      </c>
      <c r="C476" s="72">
        <f>SUM(C477)</f>
        <v>10000</v>
      </c>
      <c r="D476" s="72">
        <f t="shared" si="143"/>
        <v>10000</v>
      </c>
      <c r="E476" s="72">
        <f t="shared" si="143"/>
        <v>0</v>
      </c>
      <c r="F476" s="72">
        <f t="shared" si="143"/>
        <v>10000</v>
      </c>
      <c r="G476" s="72">
        <f t="shared" si="143"/>
        <v>10000</v>
      </c>
      <c r="H476" s="72">
        <f t="shared" si="143"/>
        <v>0</v>
      </c>
      <c r="I476" s="72">
        <f t="shared" si="143"/>
        <v>-10000</v>
      </c>
      <c r="J476" s="72">
        <f t="shared" si="143"/>
        <v>0</v>
      </c>
      <c r="K476" s="72">
        <f t="shared" si="143"/>
        <v>0</v>
      </c>
    </row>
    <row r="477" spans="1:11" s="8" customFormat="1">
      <c r="A477" s="30" t="s">
        <v>39</v>
      </c>
      <c r="B477" s="31" t="s">
        <v>40</v>
      </c>
      <c r="C477" s="33">
        <f>SUM(C478:C479)</f>
        <v>10000</v>
      </c>
      <c r="D477" s="33">
        <f t="shared" ref="D477:K477" si="144">SUM(D478:D479)</f>
        <v>10000</v>
      </c>
      <c r="E477" s="33">
        <f t="shared" si="144"/>
        <v>0</v>
      </c>
      <c r="F477" s="33">
        <f t="shared" si="144"/>
        <v>10000</v>
      </c>
      <c r="G477" s="33">
        <f t="shared" si="144"/>
        <v>10000</v>
      </c>
      <c r="H477" s="33">
        <f t="shared" si="144"/>
        <v>0</v>
      </c>
      <c r="I477" s="33">
        <f t="shared" si="144"/>
        <v>-10000</v>
      </c>
      <c r="J477" s="33">
        <f t="shared" si="144"/>
        <v>0</v>
      </c>
      <c r="K477" s="33">
        <f t="shared" si="144"/>
        <v>0</v>
      </c>
    </row>
    <row r="478" spans="1:11" s="8" customFormat="1">
      <c r="A478" s="27" t="s">
        <v>41</v>
      </c>
      <c r="B478" s="27" t="s">
        <v>42</v>
      </c>
      <c r="C478" s="28">
        <v>5000</v>
      </c>
      <c r="D478" s="28">
        <v>5000</v>
      </c>
      <c r="E478" s="28"/>
      <c r="F478" s="28">
        <v>5000</v>
      </c>
      <c r="G478" s="28">
        <v>5000</v>
      </c>
      <c r="H478" s="28"/>
      <c r="I478" s="28">
        <f t="shared" si="142"/>
        <v>-5000</v>
      </c>
      <c r="J478" s="28"/>
      <c r="K478" s="28"/>
    </row>
    <row r="479" spans="1:11" s="8" customFormat="1">
      <c r="A479" s="27" t="s">
        <v>75</v>
      </c>
      <c r="B479" s="27" t="s">
        <v>76</v>
      </c>
      <c r="C479" s="28">
        <v>5000</v>
      </c>
      <c r="D479" s="28">
        <v>5000</v>
      </c>
      <c r="E479" s="28"/>
      <c r="F479" s="28">
        <v>5000</v>
      </c>
      <c r="G479" s="28">
        <v>5000</v>
      </c>
      <c r="H479" s="28"/>
      <c r="I479" s="28">
        <f t="shared" si="142"/>
        <v>-5000</v>
      </c>
      <c r="J479" s="28"/>
      <c r="K479" s="28"/>
    </row>
    <row r="480" spans="1:11" s="12" customFormat="1" ht="30.6">
      <c r="A480" s="89" t="s">
        <v>242</v>
      </c>
      <c r="B480" s="90" t="s">
        <v>243</v>
      </c>
      <c r="C480" s="11">
        <f>SUM(C481)</f>
        <v>2000</v>
      </c>
      <c r="D480" s="11">
        <f t="shared" ref="D480:K481" si="145">SUM(D481)</f>
        <v>2000</v>
      </c>
      <c r="E480" s="11">
        <f t="shared" si="145"/>
        <v>0</v>
      </c>
      <c r="F480" s="11">
        <f t="shared" si="145"/>
        <v>2000</v>
      </c>
      <c r="G480" s="11">
        <f t="shared" si="145"/>
        <v>2000</v>
      </c>
      <c r="H480" s="11">
        <f t="shared" si="145"/>
        <v>0</v>
      </c>
      <c r="I480" s="11">
        <f t="shared" si="145"/>
        <v>-2000</v>
      </c>
      <c r="J480" s="11">
        <f t="shared" si="145"/>
        <v>0</v>
      </c>
      <c r="K480" s="11">
        <f t="shared" si="145"/>
        <v>0</v>
      </c>
    </row>
    <row r="481" spans="1:11" s="8" customFormat="1">
      <c r="A481" s="67" t="s">
        <v>110</v>
      </c>
      <c r="B481" s="68" t="s">
        <v>111</v>
      </c>
      <c r="C481" s="69">
        <f>SUM(C482)</f>
        <v>2000</v>
      </c>
      <c r="D481" s="69">
        <f t="shared" si="145"/>
        <v>2000</v>
      </c>
      <c r="E481" s="69">
        <f t="shared" si="145"/>
        <v>0</v>
      </c>
      <c r="F481" s="69">
        <f t="shared" si="145"/>
        <v>2000</v>
      </c>
      <c r="G481" s="69">
        <f t="shared" si="145"/>
        <v>2000</v>
      </c>
      <c r="H481" s="69">
        <f t="shared" si="145"/>
        <v>0</v>
      </c>
      <c r="I481" s="69">
        <f t="shared" si="145"/>
        <v>-2000</v>
      </c>
      <c r="J481" s="69">
        <f t="shared" si="145"/>
        <v>0</v>
      </c>
      <c r="K481" s="69">
        <f t="shared" si="145"/>
        <v>0</v>
      </c>
    </row>
    <row r="482" spans="1:11" s="8" customFormat="1">
      <c r="A482" s="30" t="s">
        <v>39</v>
      </c>
      <c r="B482" s="31" t="s">
        <v>40</v>
      </c>
      <c r="C482" s="33">
        <f>SUM(C483:C484)</f>
        <v>2000</v>
      </c>
      <c r="D482" s="33">
        <f t="shared" ref="D482:K482" si="146">SUM(D483:D484)</f>
        <v>2000</v>
      </c>
      <c r="E482" s="33">
        <f t="shared" si="146"/>
        <v>0</v>
      </c>
      <c r="F482" s="33">
        <f t="shared" si="146"/>
        <v>2000</v>
      </c>
      <c r="G482" s="33">
        <f t="shared" si="146"/>
        <v>2000</v>
      </c>
      <c r="H482" s="33">
        <f t="shared" si="146"/>
        <v>0</v>
      </c>
      <c r="I482" s="33">
        <f t="shared" si="146"/>
        <v>-2000</v>
      </c>
      <c r="J482" s="33">
        <f t="shared" si="146"/>
        <v>0</v>
      </c>
      <c r="K482" s="33">
        <f t="shared" si="146"/>
        <v>0</v>
      </c>
    </row>
    <row r="483" spans="1:11" s="8" customFormat="1">
      <c r="A483" s="27" t="s">
        <v>41</v>
      </c>
      <c r="B483" s="27" t="s">
        <v>42</v>
      </c>
      <c r="C483" s="28">
        <v>1000</v>
      </c>
      <c r="D483" s="28">
        <v>1000</v>
      </c>
      <c r="E483" s="28"/>
      <c r="F483" s="28">
        <v>1000</v>
      </c>
      <c r="G483" s="28">
        <v>1000</v>
      </c>
      <c r="H483" s="28"/>
      <c r="I483" s="28">
        <f t="shared" si="142"/>
        <v>-1000</v>
      </c>
      <c r="J483" s="28"/>
      <c r="K483" s="28"/>
    </row>
    <row r="484" spans="1:11" s="8" customFormat="1">
      <c r="A484" s="27" t="s">
        <v>92</v>
      </c>
      <c r="B484" s="27" t="s">
        <v>79</v>
      </c>
      <c r="C484" s="28">
        <v>1000</v>
      </c>
      <c r="D484" s="28">
        <v>1000</v>
      </c>
      <c r="E484" s="28"/>
      <c r="F484" s="28">
        <v>1000</v>
      </c>
      <c r="G484" s="28">
        <v>1000</v>
      </c>
      <c r="H484" s="28"/>
      <c r="I484" s="28">
        <f t="shared" si="142"/>
        <v>-1000</v>
      </c>
      <c r="J484" s="28"/>
      <c r="K484" s="28"/>
    </row>
    <row r="485" spans="1:11" s="12" customFormat="1">
      <c r="A485" s="89" t="s">
        <v>244</v>
      </c>
      <c r="B485" s="90" t="s">
        <v>245</v>
      </c>
      <c r="C485" s="11">
        <f>SUM(C486)</f>
        <v>60000</v>
      </c>
      <c r="D485" s="11">
        <f t="shared" ref="D485:K485" si="147">SUM(D486)</f>
        <v>60000</v>
      </c>
      <c r="E485" s="11">
        <f t="shared" si="147"/>
        <v>1244.3499999999999</v>
      </c>
      <c r="F485" s="11">
        <f t="shared" si="147"/>
        <v>60000</v>
      </c>
      <c r="G485" s="11">
        <f t="shared" si="147"/>
        <v>60000</v>
      </c>
      <c r="H485" s="11">
        <f t="shared" si="147"/>
        <v>69000</v>
      </c>
      <c r="I485" s="11">
        <f t="shared" si="147"/>
        <v>9000</v>
      </c>
      <c r="J485" s="11">
        <f t="shared" si="147"/>
        <v>69000</v>
      </c>
      <c r="K485" s="11">
        <f t="shared" si="147"/>
        <v>69000</v>
      </c>
    </row>
    <row r="486" spans="1:11" s="8" customFormat="1">
      <c r="A486" s="69" t="s">
        <v>307</v>
      </c>
      <c r="B486" s="69" t="s">
        <v>320</v>
      </c>
      <c r="C486" s="69">
        <f>SUM(C487,C489,C498)</f>
        <v>60000</v>
      </c>
      <c r="D486" s="69">
        <f t="shared" ref="D486:K486" si="148">SUM(D487,D489,D498)</f>
        <v>60000</v>
      </c>
      <c r="E486" s="69">
        <f t="shared" si="148"/>
        <v>1244.3499999999999</v>
      </c>
      <c r="F486" s="69">
        <f t="shared" si="148"/>
        <v>60000</v>
      </c>
      <c r="G486" s="69">
        <f t="shared" si="148"/>
        <v>60000</v>
      </c>
      <c r="H486" s="69">
        <f t="shared" si="148"/>
        <v>69000</v>
      </c>
      <c r="I486" s="69">
        <f t="shared" si="148"/>
        <v>9000</v>
      </c>
      <c r="J486" s="69">
        <f t="shared" si="148"/>
        <v>69000</v>
      </c>
      <c r="K486" s="69">
        <f t="shared" si="148"/>
        <v>69000</v>
      </c>
    </row>
    <row r="487" spans="1:11" s="8" customFormat="1">
      <c r="A487" s="30" t="s">
        <v>27</v>
      </c>
      <c r="B487" s="31" t="s">
        <v>28</v>
      </c>
      <c r="C487" s="33">
        <f>SUM(C488)</f>
        <v>13000</v>
      </c>
      <c r="D487" s="33">
        <f t="shared" ref="D487:K487" si="149">SUM(D488)</f>
        <v>13000</v>
      </c>
      <c r="E487" s="33">
        <f t="shared" si="149"/>
        <v>0</v>
      </c>
      <c r="F487" s="33">
        <f t="shared" si="149"/>
        <v>13000</v>
      </c>
      <c r="G487" s="33">
        <f t="shared" si="149"/>
        <v>13000</v>
      </c>
      <c r="H487" s="33">
        <f t="shared" si="149"/>
        <v>20000</v>
      </c>
      <c r="I487" s="33">
        <f t="shared" si="149"/>
        <v>7000</v>
      </c>
      <c r="J487" s="33">
        <f t="shared" si="149"/>
        <v>20000</v>
      </c>
      <c r="K487" s="33">
        <f t="shared" si="149"/>
        <v>20000</v>
      </c>
    </row>
    <row r="488" spans="1:11" s="8" customFormat="1">
      <c r="A488" s="27" t="s">
        <v>29</v>
      </c>
      <c r="B488" s="27" t="s">
        <v>30</v>
      </c>
      <c r="C488" s="28">
        <v>13000</v>
      </c>
      <c r="D488" s="28">
        <v>13000</v>
      </c>
      <c r="E488" s="28"/>
      <c r="F488" s="28">
        <v>13000</v>
      </c>
      <c r="G488" s="28">
        <v>13000</v>
      </c>
      <c r="H488" s="28">
        <v>20000</v>
      </c>
      <c r="I488" s="28">
        <f t="shared" si="142"/>
        <v>7000</v>
      </c>
      <c r="J488" s="28">
        <v>20000</v>
      </c>
      <c r="K488" s="28">
        <v>20000</v>
      </c>
    </row>
    <row r="489" spans="1:11" s="8" customFormat="1">
      <c r="A489" s="30" t="s">
        <v>39</v>
      </c>
      <c r="B489" s="31" t="s">
        <v>40</v>
      </c>
      <c r="C489" s="33">
        <f>SUM(C490:C497)</f>
        <v>40000</v>
      </c>
      <c r="D489" s="33">
        <f t="shared" ref="D489:K489" si="150">SUM(D490:D497)</f>
        <v>40000</v>
      </c>
      <c r="E489" s="33">
        <f t="shared" si="150"/>
        <v>1244.3499999999999</v>
      </c>
      <c r="F489" s="33">
        <f t="shared" si="150"/>
        <v>40000</v>
      </c>
      <c r="G489" s="33">
        <f t="shared" si="150"/>
        <v>40000</v>
      </c>
      <c r="H489" s="33">
        <f t="shared" si="150"/>
        <v>42000</v>
      </c>
      <c r="I489" s="33">
        <f t="shared" si="150"/>
        <v>2000</v>
      </c>
      <c r="J489" s="33">
        <f t="shared" si="150"/>
        <v>42000</v>
      </c>
      <c r="K489" s="33">
        <f t="shared" si="150"/>
        <v>42000</v>
      </c>
    </row>
    <row r="490" spans="1:11" s="8" customFormat="1">
      <c r="A490" s="27" t="s">
        <v>41</v>
      </c>
      <c r="B490" s="27" t="s">
        <v>42</v>
      </c>
      <c r="C490" s="28">
        <v>13000</v>
      </c>
      <c r="D490" s="28">
        <v>13000</v>
      </c>
      <c r="E490" s="29">
        <v>1244.3499999999999</v>
      </c>
      <c r="F490" s="28">
        <v>13000</v>
      </c>
      <c r="G490" s="28">
        <v>13000</v>
      </c>
      <c r="H490" s="28">
        <v>15000</v>
      </c>
      <c r="I490" s="28">
        <f t="shared" si="142"/>
        <v>2000</v>
      </c>
      <c r="J490" s="28">
        <v>15000</v>
      </c>
      <c r="K490" s="28">
        <v>15000</v>
      </c>
    </row>
    <row r="491" spans="1:11" s="8" customFormat="1">
      <c r="A491" s="27" t="s">
        <v>49</v>
      </c>
      <c r="B491" s="27" t="s">
        <v>50</v>
      </c>
      <c r="C491" s="28">
        <v>2000</v>
      </c>
      <c r="D491" s="28">
        <v>2000</v>
      </c>
      <c r="E491" s="28"/>
      <c r="F491" s="28">
        <v>2000</v>
      </c>
      <c r="G491" s="28">
        <v>2000</v>
      </c>
      <c r="H491" s="28">
        <v>2000</v>
      </c>
      <c r="I491" s="28">
        <f t="shared" si="142"/>
        <v>0</v>
      </c>
      <c r="J491" s="28">
        <v>2000</v>
      </c>
      <c r="K491" s="28">
        <v>2000</v>
      </c>
    </row>
    <row r="492" spans="1:11" s="8" customFormat="1">
      <c r="A492" s="27" t="s">
        <v>51</v>
      </c>
      <c r="B492" s="27" t="s">
        <v>52</v>
      </c>
      <c r="C492" s="28">
        <v>2000</v>
      </c>
      <c r="D492" s="28">
        <v>2000</v>
      </c>
      <c r="E492" s="28"/>
      <c r="F492" s="28">
        <v>2000</v>
      </c>
      <c r="G492" s="28">
        <v>2000</v>
      </c>
      <c r="H492" s="28">
        <v>2000</v>
      </c>
      <c r="I492" s="28">
        <f t="shared" si="142"/>
        <v>0</v>
      </c>
      <c r="J492" s="28">
        <v>2000</v>
      </c>
      <c r="K492" s="28">
        <v>2000</v>
      </c>
    </row>
    <row r="493" spans="1:11" s="8" customFormat="1">
      <c r="A493" s="27" t="s">
        <v>57</v>
      </c>
      <c r="B493" s="27" t="s">
        <v>58</v>
      </c>
      <c r="C493" s="28">
        <v>2000</v>
      </c>
      <c r="D493" s="28">
        <v>2000</v>
      </c>
      <c r="E493" s="28"/>
      <c r="F493" s="28">
        <v>2000</v>
      </c>
      <c r="G493" s="28">
        <v>2000</v>
      </c>
      <c r="H493" s="28">
        <v>2000</v>
      </c>
      <c r="I493" s="28">
        <f t="shared" si="142"/>
        <v>0</v>
      </c>
      <c r="J493" s="28">
        <v>2000</v>
      </c>
      <c r="K493" s="28">
        <v>2000</v>
      </c>
    </row>
    <row r="494" spans="1:11" s="8" customFormat="1">
      <c r="A494" s="27" t="s">
        <v>65</v>
      </c>
      <c r="B494" s="27" t="s">
        <v>66</v>
      </c>
      <c r="C494" s="28">
        <v>3000</v>
      </c>
      <c r="D494" s="28">
        <v>3000</v>
      </c>
      <c r="E494" s="28"/>
      <c r="F494" s="28">
        <v>3000</v>
      </c>
      <c r="G494" s="28">
        <v>3000</v>
      </c>
      <c r="H494" s="28">
        <v>3000</v>
      </c>
      <c r="I494" s="28">
        <f t="shared" si="142"/>
        <v>0</v>
      </c>
      <c r="J494" s="28">
        <v>3000</v>
      </c>
      <c r="K494" s="28">
        <v>3000</v>
      </c>
    </row>
    <row r="495" spans="1:11" s="8" customFormat="1">
      <c r="A495" s="27" t="s">
        <v>69</v>
      </c>
      <c r="B495" s="27" t="s">
        <v>70</v>
      </c>
      <c r="C495" s="28">
        <v>7000</v>
      </c>
      <c r="D495" s="28">
        <v>7000</v>
      </c>
      <c r="E495" s="28"/>
      <c r="F495" s="28">
        <v>7000</v>
      </c>
      <c r="G495" s="28">
        <v>7000</v>
      </c>
      <c r="H495" s="28">
        <v>7000</v>
      </c>
      <c r="I495" s="28">
        <f t="shared" si="142"/>
        <v>0</v>
      </c>
      <c r="J495" s="28">
        <v>7000</v>
      </c>
      <c r="K495" s="28">
        <v>7000</v>
      </c>
    </row>
    <row r="496" spans="1:11" s="8" customFormat="1">
      <c r="A496" s="27" t="s">
        <v>73</v>
      </c>
      <c r="B496" s="27" t="s">
        <v>74</v>
      </c>
      <c r="C496" s="28">
        <v>5000</v>
      </c>
      <c r="D496" s="28">
        <v>5000</v>
      </c>
      <c r="E496" s="28"/>
      <c r="F496" s="28">
        <v>5000</v>
      </c>
      <c r="G496" s="28">
        <v>5000</v>
      </c>
      <c r="H496" s="28">
        <v>5000</v>
      </c>
      <c r="I496" s="28">
        <f t="shared" si="142"/>
        <v>0</v>
      </c>
      <c r="J496" s="28">
        <v>5000</v>
      </c>
      <c r="K496" s="28">
        <v>5000</v>
      </c>
    </row>
    <row r="497" spans="1:11" s="8" customFormat="1">
      <c r="A497" s="27" t="s">
        <v>92</v>
      </c>
      <c r="B497" s="27" t="s">
        <v>79</v>
      </c>
      <c r="C497" s="28">
        <v>6000</v>
      </c>
      <c r="D497" s="28">
        <v>6000</v>
      </c>
      <c r="E497" s="28"/>
      <c r="F497" s="28">
        <v>6000</v>
      </c>
      <c r="G497" s="28">
        <v>6000</v>
      </c>
      <c r="H497" s="28">
        <v>6000</v>
      </c>
      <c r="I497" s="28">
        <f t="shared" si="142"/>
        <v>0</v>
      </c>
      <c r="J497" s="28">
        <v>6000</v>
      </c>
      <c r="K497" s="28">
        <v>6000</v>
      </c>
    </row>
    <row r="498" spans="1:11" s="8" customFormat="1">
      <c r="A498" s="30" t="s">
        <v>116</v>
      </c>
      <c r="B498" s="31" t="s">
        <v>117</v>
      </c>
      <c r="C498" s="33">
        <f>SUM(C499)</f>
        <v>7000</v>
      </c>
      <c r="D498" s="33">
        <f t="shared" ref="D498:K498" si="151">SUM(D499)</f>
        <v>7000</v>
      </c>
      <c r="E498" s="33">
        <f t="shared" si="151"/>
        <v>0</v>
      </c>
      <c r="F498" s="33">
        <f t="shared" si="151"/>
        <v>7000</v>
      </c>
      <c r="G498" s="33">
        <f t="shared" si="151"/>
        <v>7000</v>
      </c>
      <c r="H498" s="33">
        <f t="shared" si="151"/>
        <v>7000</v>
      </c>
      <c r="I498" s="33">
        <f t="shared" si="151"/>
        <v>0</v>
      </c>
      <c r="J498" s="33">
        <f t="shared" si="151"/>
        <v>7000</v>
      </c>
      <c r="K498" s="33">
        <f t="shared" si="151"/>
        <v>7000</v>
      </c>
    </row>
    <row r="499" spans="1:11" s="8" customFormat="1">
      <c r="A499" s="27" t="s">
        <v>118</v>
      </c>
      <c r="B499" s="27" t="s">
        <v>119</v>
      </c>
      <c r="C499" s="28">
        <v>7000</v>
      </c>
      <c r="D499" s="28">
        <v>7000</v>
      </c>
      <c r="E499" s="28"/>
      <c r="F499" s="28">
        <v>7000</v>
      </c>
      <c r="G499" s="28">
        <v>7000</v>
      </c>
      <c r="H499" s="28">
        <v>7000</v>
      </c>
      <c r="I499" s="28">
        <f t="shared" si="142"/>
        <v>0</v>
      </c>
      <c r="J499" s="28">
        <v>7000</v>
      </c>
      <c r="K499" s="28">
        <v>7000</v>
      </c>
    </row>
    <row r="500" spans="1:11" s="12" customFormat="1" ht="30.6">
      <c r="A500" s="89" t="s">
        <v>246</v>
      </c>
      <c r="B500" s="90" t="s">
        <v>247</v>
      </c>
      <c r="C500" s="11">
        <f>SUM(C501)</f>
        <v>1100000</v>
      </c>
      <c r="D500" s="11">
        <f t="shared" ref="D500:K502" si="152">SUM(D501)</f>
        <v>1100000</v>
      </c>
      <c r="E500" s="11">
        <f t="shared" si="152"/>
        <v>411716.93</v>
      </c>
      <c r="F500" s="11">
        <f t="shared" si="152"/>
        <v>600000</v>
      </c>
      <c r="G500" s="11">
        <f t="shared" si="152"/>
        <v>550000</v>
      </c>
      <c r="H500" s="11">
        <f t="shared" si="152"/>
        <v>369600</v>
      </c>
      <c r="I500" s="11">
        <f t="shared" si="152"/>
        <v>-730400</v>
      </c>
      <c r="J500" s="11">
        <f t="shared" si="152"/>
        <v>394200</v>
      </c>
      <c r="K500" s="11">
        <f t="shared" si="152"/>
        <v>450000</v>
      </c>
    </row>
    <row r="501" spans="1:11" s="8" customFormat="1" ht="20.399999999999999">
      <c r="A501" s="83" t="s">
        <v>311</v>
      </c>
      <c r="B501" s="84" t="s">
        <v>312</v>
      </c>
      <c r="C501" s="85">
        <f>SUM(C502)</f>
        <v>1100000</v>
      </c>
      <c r="D501" s="85">
        <f t="shared" si="152"/>
        <v>1100000</v>
      </c>
      <c r="E501" s="85">
        <f t="shared" si="152"/>
        <v>411716.93</v>
      </c>
      <c r="F501" s="85">
        <f t="shared" si="152"/>
        <v>600000</v>
      </c>
      <c r="G501" s="85">
        <f t="shared" si="152"/>
        <v>550000</v>
      </c>
      <c r="H501" s="85">
        <f t="shared" si="152"/>
        <v>369600</v>
      </c>
      <c r="I501" s="85">
        <f t="shared" si="152"/>
        <v>-730400</v>
      </c>
      <c r="J501" s="85">
        <f t="shared" si="152"/>
        <v>394200</v>
      </c>
      <c r="K501" s="85">
        <f t="shared" si="152"/>
        <v>450000</v>
      </c>
    </row>
    <row r="502" spans="1:11" s="8" customFormat="1">
      <c r="A502" s="30" t="s">
        <v>168</v>
      </c>
      <c r="B502" s="31" t="s">
        <v>169</v>
      </c>
      <c r="C502" s="33">
        <f>SUM(C503)</f>
        <v>1100000</v>
      </c>
      <c r="D502" s="33">
        <f t="shared" si="152"/>
        <v>1100000</v>
      </c>
      <c r="E502" s="33">
        <f t="shared" si="152"/>
        <v>411716.93</v>
      </c>
      <c r="F502" s="33">
        <f t="shared" si="152"/>
        <v>600000</v>
      </c>
      <c r="G502" s="33">
        <f t="shared" si="152"/>
        <v>550000</v>
      </c>
      <c r="H502" s="33">
        <f t="shared" si="152"/>
        <v>369600</v>
      </c>
      <c r="I502" s="33">
        <f t="shared" si="152"/>
        <v>-730400</v>
      </c>
      <c r="J502" s="33">
        <f t="shared" si="152"/>
        <v>394200</v>
      </c>
      <c r="K502" s="33">
        <f t="shared" si="152"/>
        <v>450000</v>
      </c>
    </row>
    <row r="503" spans="1:11" s="8" customFormat="1" ht="20.399999999999999">
      <c r="A503" s="27" t="s">
        <v>249</v>
      </c>
      <c r="B503" s="27" t="s">
        <v>248</v>
      </c>
      <c r="C503" s="28">
        <v>1100000</v>
      </c>
      <c r="D503" s="28">
        <v>1100000</v>
      </c>
      <c r="E503" s="29">
        <v>411716.93</v>
      </c>
      <c r="F503" s="28">
        <v>600000</v>
      </c>
      <c r="G503" s="28">
        <v>550000</v>
      </c>
      <c r="H503" s="133">
        <f>462000-92400</f>
        <v>369600</v>
      </c>
      <c r="I503" s="28">
        <f t="shared" si="142"/>
        <v>-730400</v>
      </c>
      <c r="J503" s="133">
        <f>438000-43800</f>
        <v>394200</v>
      </c>
      <c r="K503" s="132">
        <v>450000</v>
      </c>
    </row>
    <row r="504" spans="1:11" s="19" customFormat="1" ht="17.25" customHeight="1">
      <c r="A504" s="91" t="s">
        <v>250</v>
      </c>
      <c r="B504" s="92" t="s">
        <v>251</v>
      </c>
      <c r="C504" s="15">
        <f>SUM(C505)</f>
        <v>244000</v>
      </c>
      <c r="D504" s="15">
        <f t="shared" ref="D504:K504" si="153">SUM(D505)</f>
        <v>244000</v>
      </c>
      <c r="E504" s="15">
        <f t="shared" si="153"/>
        <v>72180.210000000006</v>
      </c>
      <c r="F504" s="15">
        <f t="shared" si="153"/>
        <v>32000</v>
      </c>
      <c r="G504" s="15">
        <f t="shared" si="153"/>
        <v>10000</v>
      </c>
      <c r="H504" s="15">
        <f t="shared" si="153"/>
        <v>32000</v>
      </c>
      <c r="I504" s="15">
        <f t="shared" si="153"/>
        <v>-212000</v>
      </c>
      <c r="J504" s="15">
        <f t="shared" si="153"/>
        <v>10000</v>
      </c>
      <c r="K504" s="15">
        <f t="shared" si="153"/>
        <v>18000</v>
      </c>
    </row>
    <row r="505" spans="1:11" s="8" customFormat="1">
      <c r="A505" s="69" t="s">
        <v>307</v>
      </c>
      <c r="B505" s="69" t="s">
        <v>320</v>
      </c>
      <c r="C505" s="69">
        <f>SUM(C506,C508)</f>
        <v>244000</v>
      </c>
      <c r="D505" s="69">
        <f t="shared" ref="D505:K505" si="154">SUM(D506,D508)</f>
        <v>244000</v>
      </c>
      <c r="E505" s="69">
        <f t="shared" si="154"/>
        <v>72180.210000000006</v>
      </c>
      <c r="F505" s="69">
        <f t="shared" si="154"/>
        <v>32000</v>
      </c>
      <c r="G505" s="69">
        <f t="shared" si="154"/>
        <v>10000</v>
      </c>
      <c r="H505" s="69">
        <f t="shared" si="154"/>
        <v>32000</v>
      </c>
      <c r="I505" s="69">
        <f t="shared" si="154"/>
        <v>-212000</v>
      </c>
      <c r="J505" s="69">
        <f t="shared" si="154"/>
        <v>10000</v>
      </c>
      <c r="K505" s="69">
        <f t="shared" si="154"/>
        <v>18000</v>
      </c>
    </row>
    <row r="506" spans="1:11" s="8" customFormat="1">
      <c r="A506" s="30" t="s">
        <v>27</v>
      </c>
      <c r="B506" s="31" t="s">
        <v>28</v>
      </c>
      <c r="C506" s="33">
        <f>SUM(C507)</f>
        <v>85000</v>
      </c>
      <c r="D506" s="33">
        <f t="shared" ref="D506:K506" si="155">SUM(D507)</f>
        <v>85000</v>
      </c>
      <c r="E506" s="33">
        <f t="shared" si="155"/>
        <v>14906.31</v>
      </c>
      <c r="F506" s="33">
        <f t="shared" si="155"/>
        <v>0</v>
      </c>
      <c r="G506" s="33">
        <f t="shared" si="155"/>
        <v>0</v>
      </c>
      <c r="H506" s="33">
        <f t="shared" si="155"/>
        <v>18000</v>
      </c>
      <c r="I506" s="33">
        <f t="shared" si="155"/>
        <v>-67000</v>
      </c>
      <c r="J506" s="33">
        <f t="shared" si="155"/>
        <v>10000</v>
      </c>
      <c r="K506" s="33">
        <f t="shared" si="155"/>
        <v>18000</v>
      </c>
    </row>
    <row r="507" spans="1:11" s="8" customFormat="1">
      <c r="A507" s="27" t="s">
        <v>29</v>
      </c>
      <c r="B507" s="27" t="s">
        <v>30</v>
      </c>
      <c r="C507" s="28">
        <v>85000</v>
      </c>
      <c r="D507" s="28">
        <v>85000</v>
      </c>
      <c r="E507" s="29">
        <v>14906.31</v>
      </c>
      <c r="F507" s="28"/>
      <c r="G507" s="28"/>
      <c r="H507" s="28">
        <v>18000</v>
      </c>
      <c r="I507" s="28">
        <f t="shared" si="142"/>
        <v>-67000</v>
      </c>
      <c r="J507" s="28">
        <v>10000</v>
      </c>
      <c r="K507" s="28">
        <v>18000</v>
      </c>
    </row>
    <row r="508" spans="1:11" s="8" customFormat="1">
      <c r="A508" s="30" t="s">
        <v>39</v>
      </c>
      <c r="B508" s="31" t="s">
        <v>40</v>
      </c>
      <c r="C508" s="33">
        <f>SUM(C509:C517)</f>
        <v>159000</v>
      </c>
      <c r="D508" s="33">
        <f t="shared" ref="D508:K508" si="156">SUM(D509:D517)</f>
        <v>159000</v>
      </c>
      <c r="E508" s="33">
        <f t="shared" si="156"/>
        <v>57273.9</v>
      </c>
      <c r="F508" s="33">
        <f t="shared" si="156"/>
        <v>32000</v>
      </c>
      <c r="G508" s="33">
        <f t="shared" si="156"/>
        <v>10000</v>
      </c>
      <c r="H508" s="33">
        <f t="shared" si="156"/>
        <v>14000</v>
      </c>
      <c r="I508" s="33">
        <f t="shared" si="156"/>
        <v>-145000</v>
      </c>
      <c r="J508" s="33">
        <f t="shared" si="156"/>
        <v>0</v>
      </c>
      <c r="K508" s="33">
        <f t="shared" si="156"/>
        <v>0</v>
      </c>
    </row>
    <row r="509" spans="1:11" s="8" customFormat="1">
      <c r="A509" s="27" t="s">
        <v>41</v>
      </c>
      <c r="B509" s="27" t="s">
        <v>42</v>
      </c>
      <c r="C509" s="28">
        <v>25000</v>
      </c>
      <c r="D509" s="28">
        <v>25000</v>
      </c>
      <c r="E509" s="29">
        <v>2651.13</v>
      </c>
      <c r="F509" s="28">
        <v>18000</v>
      </c>
      <c r="G509" s="28">
        <v>10000</v>
      </c>
      <c r="H509" s="28"/>
      <c r="I509" s="28">
        <f t="shared" si="142"/>
        <v>-25000</v>
      </c>
      <c r="J509" s="28"/>
      <c r="K509" s="28"/>
    </row>
    <row r="510" spans="1:11" s="8" customFormat="1">
      <c r="A510" s="27" t="s">
        <v>51</v>
      </c>
      <c r="B510" s="27" t="s">
        <v>52</v>
      </c>
      <c r="C510" s="28"/>
      <c r="D510" s="28"/>
      <c r="E510" s="29">
        <v>11939.49</v>
      </c>
      <c r="F510" s="28"/>
      <c r="G510" s="28"/>
      <c r="H510" s="28"/>
      <c r="I510" s="28">
        <f t="shared" si="142"/>
        <v>0</v>
      </c>
      <c r="J510" s="28"/>
      <c r="K510" s="28"/>
    </row>
    <row r="511" spans="1:11" s="8" customFormat="1">
      <c r="A511" s="27" t="s">
        <v>57</v>
      </c>
      <c r="B511" s="27" t="s">
        <v>58</v>
      </c>
      <c r="C511" s="28"/>
      <c r="D511" s="28"/>
      <c r="E511" s="29">
        <v>14.24</v>
      </c>
      <c r="F511" s="28"/>
      <c r="G511" s="28"/>
      <c r="H511" s="28"/>
      <c r="I511" s="28">
        <f t="shared" si="142"/>
        <v>0</v>
      </c>
      <c r="J511" s="28"/>
      <c r="K511" s="28"/>
    </row>
    <row r="512" spans="1:11" s="8" customFormat="1">
      <c r="A512" s="27" t="s">
        <v>65</v>
      </c>
      <c r="B512" s="27" t="s">
        <v>66</v>
      </c>
      <c r="C512" s="28">
        <v>20000</v>
      </c>
      <c r="D512" s="28">
        <v>20000</v>
      </c>
      <c r="E512" s="28"/>
      <c r="F512" s="28"/>
      <c r="G512" s="28"/>
      <c r="H512" s="28"/>
      <c r="I512" s="28">
        <f t="shared" si="142"/>
        <v>-20000</v>
      </c>
      <c r="J512" s="28"/>
      <c r="K512" s="28"/>
    </row>
    <row r="513" spans="1:11" s="8" customFormat="1">
      <c r="A513" s="27" t="s">
        <v>69</v>
      </c>
      <c r="B513" s="27" t="s">
        <v>70</v>
      </c>
      <c r="C513" s="28">
        <v>5000</v>
      </c>
      <c r="D513" s="28">
        <v>5000</v>
      </c>
      <c r="E513" s="28"/>
      <c r="F513" s="28"/>
      <c r="G513" s="28"/>
      <c r="H513" s="28"/>
      <c r="I513" s="28">
        <f t="shared" si="142"/>
        <v>-5000</v>
      </c>
      <c r="J513" s="28"/>
      <c r="K513" s="28"/>
    </row>
    <row r="514" spans="1:11" s="8" customFormat="1">
      <c r="A514" s="27" t="s">
        <v>132</v>
      </c>
      <c r="B514" s="27" t="s">
        <v>133</v>
      </c>
      <c r="C514" s="28">
        <v>20000</v>
      </c>
      <c r="D514" s="28">
        <v>20000</v>
      </c>
      <c r="E514" s="28"/>
      <c r="F514" s="28"/>
      <c r="G514" s="28"/>
      <c r="H514" s="28"/>
      <c r="I514" s="28">
        <f t="shared" si="142"/>
        <v>-20000</v>
      </c>
      <c r="J514" s="28"/>
      <c r="K514" s="28"/>
    </row>
    <row r="515" spans="1:11" s="8" customFormat="1">
      <c r="A515" s="27" t="s">
        <v>75</v>
      </c>
      <c r="B515" s="27" t="s">
        <v>76</v>
      </c>
      <c r="C515" s="28">
        <v>45000</v>
      </c>
      <c r="D515" s="28">
        <v>45000</v>
      </c>
      <c r="E515" s="29">
        <v>42669.04</v>
      </c>
      <c r="F515" s="28">
        <v>14000</v>
      </c>
      <c r="G515" s="28"/>
      <c r="H515" s="28">
        <v>14000</v>
      </c>
      <c r="I515" s="28">
        <f t="shared" si="142"/>
        <v>-31000</v>
      </c>
      <c r="J515" s="28"/>
      <c r="K515" s="28"/>
    </row>
    <row r="516" spans="1:11" s="8" customFormat="1">
      <c r="A516" s="27" t="s">
        <v>78</v>
      </c>
      <c r="B516" s="27" t="s">
        <v>77</v>
      </c>
      <c r="C516" s="28">
        <v>20000</v>
      </c>
      <c r="D516" s="28">
        <v>20000</v>
      </c>
      <c r="E516" s="28"/>
      <c r="F516" s="28"/>
      <c r="G516" s="28"/>
      <c r="H516" s="28"/>
      <c r="I516" s="28">
        <f t="shared" si="142"/>
        <v>-20000</v>
      </c>
      <c r="J516" s="28"/>
      <c r="K516" s="28"/>
    </row>
    <row r="517" spans="1:11" s="8" customFormat="1">
      <c r="A517" s="27" t="s">
        <v>84</v>
      </c>
      <c r="B517" s="27" t="s">
        <v>85</v>
      </c>
      <c r="C517" s="28">
        <v>24000</v>
      </c>
      <c r="D517" s="28">
        <v>24000</v>
      </c>
      <c r="E517" s="28"/>
      <c r="F517" s="28"/>
      <c r="G517" s="28"/>
      <c r="H517" s="28"/>
      <c r="I517" s="28">
        <f t="shared" si="142"/>
        <v>-24000</v>
      </c>
      <c r="J517" s="28"/>
      <c r="K517" s="28"/>
    </row>
    <row r="518" spans="1:11" s="19" customFormat="1" ht="40.799999999999997">
      <c r="A518" s="91" t="s">
        <v>252</v>
      </c>
      <c r="B518" s="92" t="s">
        <v>253</v>
      </c>
      <c r="C518" s="15">
        <f>SUM(C519)</f>
        <v>608000</v>
      </c>
      <c r="D518" s="15">
        <f t="shared" ref="D518:K518" si="157">SUM(D519)</f>
        <v>608000</v>
      </c>
      <c r="E518" s="15">
        <f t="shared" si="157"/>
        <v>66866.03</v>
      </c>
      <c r="F518" s="15">
        <f t="shared" si="157"/>
        <v>0</v>
      </c>
      <c r="G518" s="15">
        <f t="shared" si="157"/>
        <v>0</v>
      </c>
      <c r="H518" s="15">
        <f t="shared" si="157"/>
        <v>0</v>
      </c>
      <c r="I518" s="15">
        <f t="shared" si="157"/>
        <v>-608000</v>
      </c>
      <c r="J518" s="15">
        <f t="shared" si="157"/>
        <v>0</v>
      </c>
      <c r="K518" s="15">
        <f t="shared" si="157"/>
        <v>0</v>
      </c>
    </row>
    <row r="519" spans="1:11" s="8" customFormat="1">
      <c r="A519" s="69" t="s">
        <v>307</v>
      </c>
      <c r="B519" s="69" t="s">
        <v>320</v>
      </c>
      <c r="C519" s="69">
        <f>SUM(C520,C522)</f>
        <v>608000</v>
      </c>
      <c r="D519" s="69">
        <f t="shared" ref="D519:K519" si="158">SUM(D520,D522)</f>
        <v>608000</v>
      </c>
      <c r="E519" s="69">
        <f t="shared" si="158"/>
        <v>66866.03</v>
      </c>
      <c r="F519" s="69">
        <f t="shared" si="158"/>
        <v>0</v>
      </c>
      <c r="G519" s="69">
        <f t="shared" si="158"/>
        <v>0</v>
      </c>
      <c r="H519" s="69">
        <f t="shared" si="158"/>
        <v>0</v>
      </c>
      <c r="I519" s="69">
        <f t="shared" si="158"/>
        <v>-608000</v>
      </c>
      <c r="J519" s="69">
        <f t="shared" si="158"/>
        <v>0</v>
      </c>
      <c r="K519" s="69">
        <f t="shared" si="158"/>
        <v>0</v>
      </c>
    </row>
    <row r="520" spans="1:11" s="8" customFormat="1">
      <c r="A520" s="30" t="s">
        <v>27</v>
      </c>
      <c r="B520" s="31" t="s">
        <v>28</v>
      </c>
      <c r="C520" s="33">
        <f>SUM(C521)</f>
        <v>142000</v>
      </c>
      <c r="D520" s="33">
        <f t="shared" ref="D520:K520" si="159">SUM(D521)</f>
        <v>142000</v>
      </c>
      <c r="E520" s="33">
        <f t="shared" si="159"/>
        <v>0</v>
      </c>
      <c r="F520" s="33">
        <f t="shared" si="159"/>
        <v>0</v>
      </c>
      <c r="G520" s="33">
        <f t="shared" si="159"/>
        <v>0</v>
      </c>
      <c r="H520" s="33">
        <f t="shared" si="159"/>
        <v>0</v>
      </c>
      <c r="I520" s="33">
        <f t="shared" si="159"/>
        <v>-142000</v>
      </c>
      <c r="J520" s="33">
        <f t="shared" si="159"/>
        <v>0</v>
      </c>
      <c r="K520" s="33">
        <f t="shared" si="159"/>
        <v>0</v>
      </c>
    </row>
    <row r="521" spans="1:11" s="8" customFormat="1">
      <c r="A521" s="27" t="s">
        <v>29</v>
      </c>
      <c r="B521" s="27" t="s">
        <v>30</v>
      </c>
      <c r="C521" s="28">
        <v>142000</v>
      </c>
      <c r="D521" s="28">
        <v>142000</v>
      </c>
      <c r="E521" s="28"/>
      <c r="F521" s="28"/>
      <c r="G521" s="28"/>
      <c r="H521" s="28"/>
      <c r="I521" s="28">
        <f t="shared" si="142"/>
        <v>-142000</v>
      </c>
      <c r="J521" s="28"/>
      <c r="K521" s="28"/>
    </row>
    <row r="522" spans="1:11" s="8" customFormat="1">
      <c r="A522" s="30" t="s">
        <v>39</v>
      </c>
      <c r="B522" s="31" t="s">
        <v>40</v>
      </c>
      <c r="C522" s="33">
        <f>SUM(C523:C529)</f>
        <v>466000</v>
      </c>
      <c r="D522" s="33">
        <f t="shared" ref="D522:K522" si="160">SUM(D523:D529)</f>
        <v>466000</v>
      </c>
      <c r="E522" s="33">
        <f t="shared" si="160"/>
        <v>66866.03</v>
      </c>
      <c r="F522" s="33">
        <f t="shared" si="160"/>
        <v>0</v>
      </c>
      <c r="G522" s="33">
        <f t="shared" si="160"/>
        <v>0</v>
      </c>
      <c r="H522" s="33">
        <f t="shared" si="160"/>
        <v>0</v>
      </c>
      <c r="I522" s="33">
        <f t="shared" si="160"/>
        <v>-466000</v>
      </c>
      <c r="J522" s="33">
        <f t="shared" si="160"/>
        <v>0</v>
      </c>
      <c r="K522" s="33">
        <f t="shared" si="160"/>
        <v>0</v>
      </c>
    </row>
    <row r="523" spans="1:11" s="8" customFormat="1">
      <c r="A523" s="27" t="s">
        <v>41</v>
      </c>
      <c r="B523" s="27" t="s">
        <v>42</v>
      </c>
      <c r="C523" s="28">
        <v>135000</v>
      </c>
      <c r="D523" s="28">
        <v>135000</v>
      </c>
      <c r="E523" s="29">
        <v>148.57</v>
      </c>
      <c r="F523" s="28"/>
      <c r="G523" s="28"/>
      <c r="H523" s="28"/>
      <c r="I523" s="28">
        <f t="shared" si="142"/>
        <v>-135000</v>
      </c>
      <c r="J523" s="28"/>
      <c r="K523" s="28"/>
    </row>
    <row r="524" spans="1:11" s="8" customFormat="1">
      <c r="A524" s="27" t="s">
        <v>53</v>
      </c>
      <c r="B524" s="27" t="s">
        <v>54</v>
      </c>
      <c r="C524" s="28">
        <v>2000</v>
      </c>
      <c r="D524" s="28">
        <v>2000</v>
      </c>
      <c r="E524" s="28"/>
      <c r="F524" s="28"/>
      <c r="G524" s="28"/>
      <c r="H524" s="28"/>
      <c r="I524" s="28">
        <f t="shared" si="142"/>
        <v>-2000</v>
      </c>
      <c r="J524" s="28"/>
      <c r="K524" s="28"/>
    </row>
    <row r="525" spans="1:11" s="8" customFormat="1">
      <c r="A525" s="27" t="s">
        <v>65</v>
      </c>
      <c r="B525" s="27" t="s">
        <v>66</v>
      </c>
      <c r="C525" s="28">
        <v>152000</v>
      </c>
      <c r="D525" s="28">
        <v>152000</v>
      </c>
      <c r="E525" s="28"/>
      <c r="F525" s="28"/>
      <c r="G525" s="28"/>
      <c r="H525" s="28"/>
      <c r="I525" s="28">
        <f t="shared" si="142"/>
        <v>-152000</v>
      </c>
      <c r="J525" s="28"/>
      <c r="K525" s="28"/>
    </row>
    <row r="526" spans="1:11" s="8" customFormat="1">
      <c r="A526" s="27" t="s">
        <v>69</v>
      </c>
      <c r="B526" s="27" t="s">
        <v>70</v>
      </c>
      <c r="C526" s="28">
        <v>16000</v>
      </c>
      <c r="D526" s="28">
        <v>16000</v>
      </c>
      <c r="E526" s="28"/>
      <c r="F526" s="28"/>
      <c r="G526" s="28"/>
      <c r="H526" s="28"/>
      <c r="I526" s="28">
        <f t="shared" si="142"/>
        <v>-16000</v>
      </c>
      <c r="J526" s="28"/>
      <c r="K526" s="28"/>
    </row>
    <row r="527" spans="1:11" s="8" customFormat="1">
      <c r="A527" s="27" t="s">
        <v>73</v>
      </c>
      <c r="B527" s="27" t="s">
        <v>74</v>
      </c>
      <c r="C527" s="28">
        <v>127000</v>
      </c>
      <c r="D527" s="28">
        <v>127000</v>
      </c>
      <c r="E527" s="29">
        <v>60537.26</v>
      </c>
      <c r="F527" s="28"/>
      <c r="G527" s="28"/>
      <c r="H527" s="28"/>
      <c r="I527" s="28">
        <f t="shared" si="142"/>
        <v>-127000</v>
      </c>
      <c r="J527" s="28"/>
      <c r="K527" s="28"/>
    </row>
    <row r="528" spans="1:11" s="8" customFormat="1">
      <c r="A528" s="27" t="s">
        <v>75</v>
      </c>
      <c r="B528" s="27" t="s">
        <v>76</v>
      </c>
      <c r="C528" s="28"/>
      <c r="D528" s="28"/>
      <c r="E528" s="29">
        <v>6180.2</v>
      </c>
      <c r="F528" s="28"/>
      <c r="G528" s="28"/>
      <c r="H528" s="28"/>
      <c r="I528" s="28">
        <f t="shared" si="142"/>
        <v>0</v>
      </c>
      <c r="J528" s="28"/>
      <c r="K528" s="28"/>
    </row>
    <row r="529" spans="1:11" s="8" customFormat="1">
      <c r="A529" s="27" t="s">
        <v>84</v>
      </c>
      <c r="B529" s="27" t="s">
        <v>85</v>
      </c>
      <c r="C529" s="28">
        <v>34000</v>
      </c>
      <c r="D529" s="28">
        <v>34000</v>
      </c>
      <c r="E529" s="28"/>
      <c r="F529" s="28"/>
      <c r="G529" s="28"/>
      <c r="H529" s="28"/>
      <c r="I529" s="28">
        <f t="shared" si="142"/>
        <v>-34000</v>
      </c>
      <c r="J529" s="28"/>
      <c r="K529" s="28"/>
    </row>
    <row r="530" spans="1:11" s="12" customFormat="1" ht="20.399999999999999">
      <c r="A530" s="89" t="s">
        <v>254</v>
      </c>
      <c r="B530" s="90" t="s">
        <v>255</v>
      </c>
      <c r="C530" s="11">
        <f>SUM(C531)</f>
        <v>2419000</v>
      </c>
      <c r="D530" s="11">
        <f t="shared" ref="D530:K530" si="161">SUM(D531)</f>
        <v>2419000</v>
      </c>
      <c r="E530" s="11">
        <f t="shared" si="161"/>
        <v>450114.15</v>
      </c>
      <c r="F530" s="11">
        <f t="shared" si="161"/>
        <v>2119000</v>
      </c>
      <c r="G530" s="11">
        <f t="shared" si="161"/>
        <v>2119000</v>
      </c>
      <c r="H530" s="11">
        <f t="shared" si="161"/>
        <v>2119000</v>
      </c>
      <c r="I530" s="11">
        <f t="shared" si="161"/>
        <v>-300000</v>
      </c>
      <c r="J530" s="11">
        <f t="shared" si="161"/>
        <v>2119000</v>
      </c>
      <c r="K530" s="11">
        <f t="shared" si="161"/>
        <v>2119000</v>
      </c>
    </row>
    <row r="531" spans="1:11" s="8" customFormat="1" ht="20.399999999999999">
      <c r="A531" s="36" t="s">
        <v>319</v>
      </c>
      <c r="B531" s="37" t="s">
        <v>321</v>
      </c>
      <c r="C531" s="38">
        <f>SUM(C532,C538,C550,C552,C558)</f>
        <v>2419000</v>
      </c>
      <c r="D531" s="38">
        <f t="shared" ref="D531:K531" si="162">SUM(D532,D538,D550,D552,D558)</f>
        <v>2419000</v>
      </c>
      <c r="E531" s="38">
        <f t="shared" si="162"/>
        <v>450114.15</v>
      </c>
      <c r="F531" s="38">
        <f t="shared" si="162"/>
        <v>2119000</v>
      </c>
      <c r="G531" s="38">
        <f t="shared" si="162"/>
        <v>2119000</v>
      </c>
      <c r="H531" s="38">
        <f t="shared" si="162"/>
        <v>2119000</v>
      </c>
      <c r="I531" s="38">
        <f t="shared" si="162"/>
        <v>-300000</v>
      </c>
      <c r="J531" s="38">
        <f t="shared" si="162"/>
        <v>2119000</v>
      </c>
      <c r="K531" s="38">
        <f t="shared" si="162"/>
        <v>2119000</v>
      </c>
    </row>
    <row r="532" spans="1:11" s="8" customFormat="1">
      <c r="A532" s="30" t="s">
        <v>27</v>
      </c>
      <c r="B532" s="31" t="s">
        <v>28</v>
      </c>
      <c r="C532" s="33">
        <f>SUM(C533:C537)</f>
        <v>860000</v>
      </c>
      <c r="D532" s="33">
        <f t="shared" ref="D532:K532" si="163">SUM(D533:D537)</f>
        <v>860000</v>
      </c>
      <c r="E532" s="33">
        <f t="shared" si="163"/>
        <v>189083.35</v>
      </c>
      <c r="F532" s="33">
        <f t="shared" si="163"/>
        <v>860000</v>
      </c>
      <c r="G532" s="33">
        <f t="shared" si="163"/>
        <v>860000</v>
      </c>
      <c r="H532" s="33">
        <f t="shared" si="163"/>
        <v>860000</v>
      </c>
      <c r="I532" s="33">
        <f t="shared" si="163"/>
        <v>0</v>
      </c>
      <c r="J532" s="33">
        <f t="shared" si="163"/>
        <v>860000</v>
      </c>
      <c r="K532" s="33">
        <f t="shared" si="163"/>
        <v>860000</v>
      </c>
    </row>
    <row r="533" spans="1:11" s="8" customFormat="1">
      <c r="A533" s="27" t="s">
        <v>29</v>
      </c>
      <c r="B533" s="27" t="s">
        <v>30</v>
      </c>
      <c r="C533" s="28">
        <v>500000</v>
      </c>
      <c r="D533" s="28">
        <v>500000</v>
      </c>
      <c r="E533" s="29">
        <v>167261.45000000001</v>
      </c>
      <c r="F533" s="28">
        <v>500000</v>
      </c>
      <c r="G533" s="28">
        <v>500000</v>
      </c>
      <c r="H533" s="28">
        <v>500000</v>
      </c>
      <c r="I533" s="28">
        <f t="shared" si="142"/>
        <v>0</v>
      </c>
      <c r="J533" s="28">
        <v>500000</v>
      </c>
      <c r="K533" s="28">
        <v>500000</v>
      </c>
    </row>
    <row r="534" spans="1:11" s="8" customFormat="1">
      <c r="A534" s="27" t="s">
        <v>31</v>
      </c>
      <c r="B534" s="27" t="s">
        <v>32</v>
      </c>
      <c r="C534" s="28">
        <v>30000</v>
      </c>
      <c r="D534" s="28">
        <v>30000</v>
      </c>
      <c r="E534" s="28"/>
      <c r="F534" s="28">
        <v>30000</v>
      </c>
      <c r="G534" s="28">
        <v>30000</v>
      </c>
      <c r="H534" s="28">
        <v>30000</v>
      </c>
      <c r="I534" s="28">
        <f t="shared" si="142"/>
        <v>0</v>
      </c>
      <c r="J534" s="28">
        <v>30000</v>
      </c>
      <c r="K534" s="28">
        <v>30000</v>
      </c>
    </row>
    <row r="535" spans="1:11" s="8" customFormat="1">
      <c r="A535" s="27" t="s">
        <v>34</v>
      </c>
      <c r="B535" s="27" t="s">
        <v>33</v>
      </c>
      <c r="C535" s="28">
        <v>30000</v>
      </c>
      <c r="D535" s="28">
        <v>30000</v>
      </c>
      <c r="E535" s="28"/>
      <c r="F535" s="28">
        <v>30000</v>
      </c>
      <c r="G535" s="28">
        <v>30000</v>
      </c>
      <c r="H535" s="28">
        <v>30000</v>
      </c>
      <c r="I535" s="28">
        <f t="shared" si="142"/>
        <v>0</v>
      </c>
      <c r="J535" s="28">
        <v>30000</v>
      </c>
      <c r="K535" s="28">
        <v>30000</v>
      </c>
    </row>
    <row r="536" spans="1:11" s="8" customFormat="1" ht="20.399999999999999">
      <c r="A536" s="27" t="s">
        <v>35</v>
      </c>
      <c r="B536" s="27" t="s">
        <v>36</v>
      </c>
      <c r="C536" s="28">
        <v>140000</v>
      </c>
      <c r="D536" s="28">
        <v>140000</v>
      </c>
      <c r="E536" s="28"/>
      <c r="F536" s="28">
        <v>140000</v>
      </c>
      <c r="G536" s="28">
        <v>140000</v>
      </c>
      <c r="H536" s="28">
        <v>140000</v>
      </c>
      <c r="I536" s="28">
        <f t="shared" ref="I536:I600" si="164">H536-D536</f>
        <v>0</v>
      </c>
      <c r="J536" s="28">
        <v>140000</v>
      </c>
      <c r="K536" s="28">
        <v>140000</v>
      </c>
    </row>
    <row r="537" spans="1:11" s="8" customFormat="1">
      <c r="A537" s="27" t="s">
        <v>37</v>
      </c>
      <c r="B537" s="27" t="s">
        <v>38</v>
      </c>
      <c r="C537" s="28">
        <v>160000</v>
      </c>
      <c r="D537" s="28">
        <v>160000</v>
      </c>
      <c r="E537" s="29">
        <v>21821.9</v>
      </c>
      <c r="F537" s="28">
        <v>160000</v>
      </c>
      <c r="G537" s="28">
        <v>160000</v>
      </c>
      <c r="H537" s="28">
        <v>160000</v>
      </c>
      <c r="I537" s="28">
        <f t="shared" si="164"/>
        <v>0</v>
      </c>
      <c r="J537" s="28">
        <v>160000</v>
      </c>
      <c r="K537" s="28">
        <v>160000</v>
      </c>
    </row>
    <row r="538" spans="1:11" s="8" customFormat="1">
      <c r="A538" s="30" t="s">
        <v>39</v>
      </c>
      <c r="B538" s="31" t="s">
        <v>40</v>
      </c>
      <c r="C538" s="33">
        <f>SUM(C539:C549)</f>
        <v>1409000</v>
      </c>
      <c r="D538" s="33">
        <f t="shared" ref="D538:K538" si="165">SUM(D539:D549)</f>
        <v>1409000</v>
      </c>
      <c r="E538" s="33">
        <f t="shared" si="165"/>
        <v>232118.3</v>
      </c>
      <c r="F538" s="33">
        <f t="shared" si="165"/>
        <v>1009000</v>
      </c>
      <c r="G538" s="33">
        <f t="shared" si="165"/>
        <v>1009000</v>
      </c>
      <c r="H538" s="33">
        <f t="shared" si="165"/>
        <v>1009000</v>
      </c>
      <c r="I538" s="33">
        <f t="shared" si="165"/>
        <v>-400000</v>
      </c>
      <c r="J538" s="33">
        <f t="shared" si="165"/>
        <v>1009000</v>
      </c>
      <c r="K538" s="33">
        <f t="shared" si="165"/>
        <v>1009000</v>
      </c>
    </row>
    <row r="539" spans="1:11" s="8" customFormat="1">
      <c r="A539" s="27" t="s">
        <v>41</v>
      </c>
      <c r="B539" s="27" t="s">
        <v>42</v>
      </c>
      <c r="C539" s="28">
        <v>10000</v>
      </c>
      <c r="D539" s="28">
        <v>10000</v>
      </c>
      <c r="E539" s="29">
        <v>48780.800000000003</v>
      </c>
      <c r="F539" s="28">
        <v>10000</v>
      </c>
      <c r="G539" s="28">
        <v>10000</v>
      </c>
      <c r="H539" s="28">
        <v>10000</v>
      </c>
      <c r="I539" s="28">
        <f t="shared" si="164"/>
        <v>0</v>
      </c>
      <c r="J539" s="28">
        <v>10000</v>
      </c>
      <c r="K539" s="28">
        <v>10000</v>
      </c>
    </row>
    <row r="540" spans="1:11" s="8" customFormat="1">
      <c r="A540" s="27" t="s">
        <v>43</v>
      </c>
      <c r="B540" s="27" t="s">
        <v>44</v>
      </c>
      <c r="C540" s="28">
        <v>5000</v>
      </c>
      <c r="D540" s="28">
        <v>5000</v>
      </c>
      <c r="E540" s="29">
        <v>3393.02</v>
      </c>
      <c r="F540" s="28">
        <v>5000</v>
      </c>
      <c r="G540" s="28">
        <v>5000</v>
      </c>
      <c r="H540" s="28">
        <v>5000</v>
      </c>
      <c r="I540" s="28">
        <f t="shared" si="164"/>
        <v>0</v>
      </c>
      <c r="J540" s="28">
        <v>5000</v>
      </c>
      <c r="K540" s="28">
        <v>5000</v>
      </c>
    </row>
    <row r="541" spans="1:11" s="8" customFormat="1">
      <c r="A541" s="27" t="s">
        <v>45</v>
      </c>
      <c r="B541" s="27" t="s">
        <v>46</v>
      </c>
      <c r="C541" s="28">
        <v>7000</v>
      </c>
      <c r="D541" s="28">
        <v>7000</v>
      </c>
      <c r="E541" s="29">
        <v>14405.24</v>
      </c>
      <c r="F541" s="28">
        <v>7000</v>
      </c>
      <c r="G541" s="28">
        <v>7000</v>
      </c>
      <c r="H541" s="28">
        <v>7000</v>
      </c>
      <c r="I541" s="28">
        <f t="shared" si="164"/>
        <v>0</v>
      </c>
      <c r="J541" s="28">
        <v>7000</v>
      </c>
      <c r="K541" s="28">
        <v>7000</v>
      </c>
    </row>
    <row r="542" spans="1:11" s="8" customFormat="1">
      <c r="A542" s="27" t="s">
        <v>49</v>
      </c>
      <c r="B542" s="27" t="s">
        <v>50</v>
      </c>
      <c r="C542" s="28">
        <v>2000</v>
      </c>
      <c r="D542" s="28">
        <v>2000</v>
      </c>
      <c r="E542" s="29">
        <v>6557.5</v>
      </c>
      <c r="F542" s="28">
        <v>2000</v>
      </c>
      <c r="G542" s="28">
        <v>2000</v>
      </c>
      <c r="H542" s="28">
        <v>2000</v>
      </c>
      <c r="I542" s="28">
        <f t="shared" si="164"/>
        <v>0</v>
      </c>
      <c r="J542" s="28">
        <v>2000</v>
      </c>
      <c r="K542" s="28">
        <v>2000</v>
      </c>
    </row>
    <row r="543" spans="1:11" s="8" customFormat="1">
      <c r="A543" s="27" t="s">
        <v>57</v>
      </c>
      <c r="B543" s="27" t="s">
        <v>58</v>
      </c>
      <c r="C543" s="28">
        <v>10000</v>
      </c>
      <c r="D543" s="28">
        <v>10000</v>
      </c>
      <c r="E543" s="28"/>
      <c r="F543" s="28">
        <v>10000</v>
      </c>
      <c r="G543" s="28">
        <v>10000</v>
      </c>
      <c r="H543" s="28">
        <v>10000</v>
      </c>
      <c r="I543" s="28">
        <f t="shared" si="164"/>
        <v>0</v>
      </c>
      <c r="J543" s="28">
        <v>10000</v>
      </c>
      <c r="K543" s="28">
        <v>10000</v>
      </c>
    </row>
    <row r="544" spans="1:11" s="8" customFormat="1">
      <c r="A544" s="27" t="s">
        <v>63</v>
      </c>
      <c r="B544" s="27" t="s">
        <v>64</v>
      </c>
      <c r="C544" s="28">
        <v>25000</v>
      </c>
      <c r="D544" s="28">
        <v>25000</v>
      </c>
      <c r="E544" s="29">
        <v>11210.95</v>
      </c>
      <c r="F544" s="28">
        <v>25000</v>
      </c>
      <c r="G544" s="28">
        <v>25000</v>
      </c>
      <c r="H544" s="28">
        <v>25000</v>
      </c>
      <c r="I544" s="28">
        <f t="shared" si="164"/>
        <v>0</v>
      </c>
      <c r="J544" s="28">
        <v>25000</v>
      </c>
      <c r="K544" s="28">
        <v>25000</v>
      </c>
    </row>
    <row r="545" spans="1:11" s="8" customFormat="1">
      <c r="A545" s="27" t="s">
        <v>65</v>
      </c>
      <c r="B545" s="27" t="s">
        <v>66</v>
      </c>
      <c r="C545" s="28">
        <v>50000</v>
      </c>
      <c r="D545" s="28">
        <v>50000</v>
      </c>
      <c r="E545" s="29">
        <v>26676.94</v>
      </c>
      <c r="F545" s="28">
        <v>50000</v>
      </c>
      <c r="G545" s="28">
        <v>50000</v>
      </c>
      <c r="H545" s="28">
        <v>50000</v>
      </c>
      <c r="I545" s="28">
        <f t="shared" si="164"/>
        <v>0</v>
      </c>
      <c r="J545" s="28">
        <v>50000</v>
      </c>
      <c r="K545" s="28">
        <v>50000</v>
      </c>
    </row>
    <row r="546" spans="1:11" s="8" customFormat="1">
      <c r="A546" s="27" t="s">
        <v>69</v>
      </c>
      <c r="B546" s="27" t="s">
        <v>70</v>
      </c>
      <c r="C546" s="28"/>
      <c r="D546" s="28"/>
      <c r="E546" s="29">
        <v>24748.03</v>
      </c>
      <c r="F546" s="28"/>
      <c r="G546" s="28"/>
      <c r="H546" s="28"/>
      <c r="I546" s="28">
        <f t="shared" si="164"/>
        <v>0</v>
      </c>
      <c r="J546" s="28"/>
      <c r="K546" s="28"/>
    </row>
    <row r="547" spans="1:11" s="8" customFormat="1">
      <c r="A547" s="27" t="s">
        <v>73</v>
      </c>
      <c r="B547" s="27" t="s">
        <v>74</v>
      </c>
      <c r="C547" s="28">
        <v>1000000</v>
      </c>
      <c r="D547" s="28">
        <v>1000000</v>
      </c>
      <c r="E547" s="29">
        <v>71598.850000000006</v>
      </c>
      <c r="F547" s="28">
        <v>600000</v>
      </c>
      <c r="G547" s="28">
        <v>600000</v>
      </c>
      <c r="H547" s="28">
        <v>600000</v>
      </c>
      <c r="I547" s="28">
        <f t="shared" si="164"/>
        <v>-400000</v>
      </c>
      <c r="J547" s="28">
        <v>600000</v>
      </c>
      <c r="K547" s="28">
        <v>600000</v>
      </c>
    </row>
    <row r="548" spans="1:11" s="8" customFormat="1">
      <c r="A548" s="27" t="s">
        <v>75</v>
      </c>
      <c r="B548" s="27" t="s">
        <v>76</v>
      </c>
      <c r="C548" s="28"/>
      <c r="D548" s="28"/>
      <c r="E548" s="29">
        <v>24746.97</v>
      </c>
      <c r="F548" s="28"/>
      <c r="G548" s="28"/>
      <c r="H548" s="28"/>
      <c r="I548" s="28">
        <f t="shared" si="164"/>
        <v>0</v>
      </c>
      <c r="J548" s="28"/>
      <c r="K548" s="28"/>
    </row>
    <row r="549" spans="1:11" s="8" customFormat="1">
      <c r="A549" s="27" t="s">
        <v>78</v>
      </c>
      <c r="B549" s="27" t="s">
        <v>77</v>
      </c>
      <c r="C549" s="28">
        <v>300000</v>
      </c>
      <c r="D549" s="28">
        <v>300000</v>
      </c>
      <c r="E549" s="28"/>
      <c r="F549" s="28">
        <v>300000</v>
      </c>
      <c r="G549" s="28">
        <v>300000</v>
      </c>
      <c r="H549" s="28">
        <v>300000</v>
      </c>
      <c r="I549" s="28">
        <f t="shared" si="164"/>
        <v>0</v>
      </c>
      <c r="J549" s="28">
        <v>300000</v>
      </c>
      <c r="K549" s="28">
        <v>300000</v>
      </c>
    </row>
    <row r="550" spans="1:11" s="8" customFormat="1">
      <c r="A550" s="30" t="s">
        <v>112</v>
      </c>
      <c r="B550" s="31" t="s">
        <v>113</v>
      </c>
      <c r="C550" s="33">
        <f>SUM(C551)</f>
        <v>15000</v>
      </c>
      <c r="D550" s="33">
        <f t="shared" ref="D550:K550" si="166">SUM(D551)</f>
        <v>15000</v>
      </c>
      <c r="E550" s="33">
        <f t="shared" si="166"/>
        <v>0</v>
      </c>
      <c r="F550" s="33">
        <f t="shared" si="166"/>
        <v>15000</v>
      </c>
      <c r="G550" s="33">
        <f t="shared" si="166"/>
        <v>15000</v>
      </c>
      <c r="H550" s="33">
        <f t="shared" si="166"/>
        <v>15000</v>
      </c>
      <c r="I550" s="33">
        <f t="shared" si="166"/>
        <v>0</v>
      </c>
      <c r="J550" s="33">
        <f t="shared" si="166"/>
        <v>15000</v>
      </c>
      <c r="K550" s="33">
        <f t="shared" si="166"/>
        <v>15000</v>
      </c>
    </row>
    <row r="551" spans="1:11" s="8" customFormat="1">
      <c r="A551" s="27" t="s">
        <v>114</v>
      </c>
      <c r="B551" s="27" t="s">
        <v>115</v>
      </c>
      <c r="C551" s="28">
        <v>15000</v>
      </c>
      <c r="D551" s="28">
        <v>15000</v>
      </c>
      <c r="E551" s="28"/>
      <c r="F551" s="28">
        <v>15000</v>
      </c>
      <c r="G551" s="28">
        <v>15000</v>
      </c>
      <c r="H551" s="28">
        <v>15000</v>
      </c>
      <c r="I551" s="28">
        <f t="shared" si="164"/>
        <v>0</v>
      </c>
      <c r="J551" s="28">
        <v>15000</v>
      </c>
      <c r="K551" s="28">
        <v>15000</v>
      </c>
    </row>
    <row r="552" spans="1:11" s="8" customFormat="1">
      <c r="A552" s="30" t="s">
        <v>116</v>
      </c>
      <c r="B552" s="31" t="s">
        <v>117</v>
      </c>
      <c r="C552" s="33">
        <f>SUM(C553:C557)</f>
        <v>115000</v>
      </c>
      <c r="D552" s="33">
        <f t="shared" ref="D552:K552" si="167">SUM(D553:D557)</f>
        <v>115000</v>
      </c>
      <c r="E552" s="33">
        <f t="shared" si="167"/>
        <v>28912.5</v>
      </c>
      <c r="F552" s="33">
        <f t="shared" si="167"/>
        <v>215000</v>
      </c>
      <c r="G552" s="33">
        <f t="shared" si="167"/>
        <v>215000</v>
      </c>
      <c r="H552" s="33">
        <f t="shared" si="167"/>
        <v>215000</v>
      </c>
      <c r="I552" s="33">
        <f t="shared" si="167"/>
        <v>100000</v>
      </c>
      <c r="J552" s="33">
        <f t="shared" si="167"/>
        <v>215000</v>
      </c>
      <c r="K552" s="33">
        <f t="shared" si="167"/>
        <v>215000</v>
      </c>
    </row>
    <row r="553" spans="1:11" s="8" customFormat="1">
      <c r="A553" s="27" t="s">
        <v>118</v>
      </c>
      <c r="B553" s="27" t="s">
        <v>119</v>
      </c>
      <c r="C553" s="28">
        <v>50000</v>
      </c>
      <c r="D553" s="28">
        <v>50000</v>
      </c>
      <c r="E553" s="29">
        <v>28912.5</v>
      </c>
      <c r="F553" s="28">
        <v>50000</v>
      </c>
      <c r="G553" s="28">
        <v>50000</v>
      </c>
      <c r="H553" s="28">
        <v>50000</v>
      </c>
      <c r="I553" s="28">
        <f t="shared" si="164"/>
        <v>0</v>
      </c>
      <c r="J553" s="28">
        <v>50000</v>
      </c>
      <c r="K553" s="28">
        <v>50000</v>
      </c>
    </row>
    <row r="554" spans="1:11" s="8" customFormat="1">
      <c r="A554" s="27" t="s">
        <v>120</v>
      </c>
      <c r="B554" s="27" t="s">
        <v>121</v>
      </c>
      <c r="C554" s="28">
        <v>50000</v>
      </c>
      <c r="D554" s="28">
        <v>50000</v>
      </c>
      <c r="E554" s="28"/>
      <c r="F554" s="28">
        <v>50000</v>
      </c>
      <c r="G554" s="28">
        <v>50000</v>
      </c>
      <c r="H554" s="28">
        <v>50000</v>
      </c>
      <c r="I554" s="28">
        <f t="shared" si="164"/>
        <v>0</v>
      </c>
      <c r="J554" s="28">
        <v>50000</v>
      </c>
      <c r="K554" s="28">
        <v>50000</v>
      </c>
    </row>
    <row r="555" spans="1:11" s="8" customFormat="1">
      <c r="A555" s="27" t="s">
        <v>124</v>
      </c>
      <c r="B555" s="27" t="s">
        <v>125</v>
      </c>
      <c r="C555" s="28">
        <v>10000</v>
      </c>
      <c r="D555" s="28">
        <v>10000</v>
      </c>
      <c r="E555" s="28"/>
      <c r="F555" s="28">
        <v>10000</v>
      </c>
      <c r="G555" s="28">
        <v>10000</v>
      </c>
      <c r="H555" s="28">
        <v>10000</v>
      </c>
      <c r="I555" s="28">
        <f t="shared" si="164"/>
        <v>0</v>
      </c>
      <c r="J555" s="28">
        <v>10000</v>
      </c>
      <c r="K555" s="28">
        <v>10000</v>
      </c>
    </row>
    <row r="556" spans="1:11" s="8" customFormat="1">
      <c r="A556" s="27" t="s">
        <v>160</v>
      </c>
      <c r="B556" s="27" t="s">
        <v>161</v>
      </c>
      <c r="C556" s="41">
        <v>0</v>
      </c>
      <c r="D556" s="41">
        <v>0</v>
      </c>
      <c r="E556" s="28"/>
      <c r="F556" s="28">
        <v>100000</v>
      </c>
      <c r="G556" s="28">
        <v>100000</v>
      </c>
      <c r="H556" s="28">
        <v>100000</v>
      </c>
      <c r="I556" s="28">
        <f t="shared" si="164"/>
        <v>100000</v>
      </c>
      <c r="J556" s="28">
        <v>100000</v>
      </c>
      <c r="K556" s="28">
        <v>100000</v>
      </c>
    </row>
    <row r="557" spans="1:11" s="8" customFormat="1">
      <c r="A557" s="27" t="s">
        <v>188</v>
      </c>
      <c r="B557" s="27" t="s">
        <v>189</v>
      </c>
      <c r="C557" s="28">
        <v>5000</v>
      </c>
      <c r="D557" s="28">
        <v>5000</v>
      </c>
      <c r="E557" s="28"/>
      <c r="F557" s="28">
        <v>5000</v>
      </c>
      <c r="G557" s="28">
        <v>5000</v>
      </c>
      <c r="H557" s="28">
        <v>5000</v>
      </c>
      <c r="I557" s="28">
        <f t="shared" si="164"/>
        <v>0</v>
      </c>
      <c r="J557" s="28">
        <v>5000</v>
      </c>
      <c r="K557" s="28">
        <v>5000</v>
      </c>
    </row>
    <row r="558" spans="1:11" s="8" customFormat="1">
      <c r="A558" s="30" t="s">
        <v>134</v>
      </c>
      <c r="B558" s="31" t="s">
        <v>135</v>
      </c>
      <c r="C558" s="33">
        <f>SUM(C559)</f>
        <v>20000</v>
      </c>
      <c r="D558" s="33">
        <f t="shared" ref="D558:K558" si="168">SUM(D559)</f>
        <v>20000</v>
      </c>
      <c r="E558" s="33">
        <f t="shared" si="168"/>
        <v>0</v>
      </c>
      <c r="F558" s="33">
        <f t="shared" si="168"/>
        <v>20000</v>
      </c>
      <c r="G558" s="33">
        <f t="shared" si="168"/>
        <v>20000</v>
      </c>
      <c r="H558" s="33">
        <f t="shared" si="168"/>
        <v>20000</v>
      </c>
      <c r="I558" s="33">
        <f t="shared" si="168"/>
        <v>0</v>
      </c>
      <c r="J558" s="33">
        <f t="shared" si="168"/>
        <v>20000</v>
      </c>
      <c r="K558" s="33">
        <f t="shared" si="168"/>
        <v>20000</v>
      </c>
    </row>
    <row r="559" spans="1:11" s="8" customFormat="1">
      <c r="A559" s="27" t="s">
        <v>137</v>
      </c>
      <c r="B559" s="27" t="s">
        <v>136</v>
      </c>
      <c r="C559" s="28">
        <v>20000</v>
      </c>
      <c r="D559" s="28">
        <v>20000</v>
      </c>
      <c r="E559" s="28"/>
      <c r="F559" s="28">
        <v>20000</v>
      </c>
      <c r="G559" s="28">
        <v>20000</v>
      </c>
      <c r="H559" s="28">
        <v>20000</v>
      </c>
      <c r="I559" s="28">
        <f t="shared" si="164"/>
        <v>0</v>
      </c>
      <c r="J559" s="28">
        <v>20000</v>
      </c>
      <c r="K559" s="28">
        <v>20000</v>
      </c>
    </row>
    <row r="560" spans="1:11" s="19" customFormat="1" ht="20.399999999999999">
      <c r="A560" s="91" t="s">
        <v>256</v>
      </c>
      <c r="B560" s="92" t="s">
        <v>257</v>
      </c>
      <c r="C560" s="15">
        <f>SUM(C561)</f>
        <v>39500</v>
      </c>
      <c r="D560" s="15">
        <f t="shared" ref="D560:K562" si="169">SUM(D561)</f>
        <v>39500</v>
      </c>
      <c r="E560" s="15">
        <f t="shared" si="169"/>
        <v>2163.56</v>
      </c>
      <c r="F560" s="15">
        <f t="shared" si="169"/>
        <v>35000</v>
      </c>
      <c r="G560" s="15">
        <f t="shared" si="169"/>
        <v>48000</v>
      </c>
      <c r="H560" s="15">
        <f t="shared" si="169"/>
        <v>42000</v>
      </c>
      <c r="I560" s="15">
        <f t="shared" si="169"/>
        <v>2500</v>
      </c>
      <c r="J560" s="15">
        <f t="shared" si="169"/>
        <v>28000</v>
      </c>
      <c r="K560" s="15">
        <f t="shared" si="169"/>
        <v>0</v>
      </c>
    </row>
    <row r="561" spans="1:11" s="8" customFormat="1" ht="20.399999999999999">
      <c r="A561" s="83" t="s">
        <v>311</v>
      </c>
      <c r="B561" s="84" t="s">
        <v>312</v>
      </c>
      <c r="C561" s="85">
        <f>SUM(C562,C564)</f>
        <v>39500</v>
      </c>
      <c r="D561" s="85">
        <f t="shared" ref="D561:K561" si="170">SUM(D562,D564)</f>
        <v>39500</v>
      </c>
      <c r="E561" s="85">
        <f t="shared" si="170"/>
        <v>2163.56</v>
      </c>
      <c r="F561" s="85">
        <f t="shared" si="170"/>
        <v>35000</v>
      </c>
      <c r="G561" s="85">
        <f t="shared" si="170"/>
        <v>48000</v>
      </c>
      <c r="H561" s="85">
        <f t="shared" si="170"/>
        <v>42000</v>
      </c>
      <c r="I561" s="85">
        <f t="shared" si="170"/>
        <v>2500</v>
      </c>
      <c r="J561" s="85">
        <f t="shared" si="170"/>
        <v>28000</v>
      </c>
      <c r="K561" s="85">
        <f t="shared" si="170"/>
        <v>0</v>
      </c>
    </row>
    <row r="562" spans="1:11" s="8" customFormat="1">
      <c r="A562" s="30" t="s">
        <v>27</v>
      </c>
      <c r="B562" s="31" t="s">
        <v>28</v>
      </c>
      <c r="C562" s="33">
        <f>SUM(C563)</f>
        <v>28500</v>
      </c>
      <c r="D562" s="33">
        <f t="shared" si="169"/>
        <v>28500</v>
      </c>
      <c r="E562" s="33">
        <f t="shared" si="169"/>
        <v>0</v>
      </c>
      <c r="F562" s="33">
        <f t="shared" si="169"/>
        <v>30500</v>
      </c>
      <c r="G562" s="33">
        <f t="shared" si="169"/>
        <v>30500</v>
      </c>
      <c r="H562" s="33">
        <f t="shared" si="169"/>
        <v>23000</v>
      </c>
      <c r="I562" s="33">
        <f t="shared" si="169"/>
        <v>-5500</v>
      </c>
      <c r="J562" s="33">
        <f t="shared" si="169"/>
        <v>16000</v>
      </c>
      <c r="K562" s="33">
        <f t="shared" si="169"/>
        <v>0</v>
      </c>
    </row>
    <row r="563" spans="1:11" s="8" customFormat="1">
      <c r="A563" s="27" t="s">
        <v>29</v>
      </c>
      <c r="B563" s="27" t="s">
        <v>30</v>
      </c>
      <c r="C563" s="28">
        <v>28500</v>
      </c>
      <c r="D563" s="28">
        <v>28500</v>
      </c>
      <c r="E563" s="28"/>
      <c r="F563" s="28">
        <v>30500</v>
      </c>
      <c r="G563" s="28">
        <v>30500</v>
      </c>
      <c r="H563" s="28">
        <v>23000</v>
      </c>
      <c r="I563" s="28">
        <f t="shared" si="164"/>
        <v>-5500</v>
      </c>
      <c r="J563" s="28">
        <v>16000</v>
      </c>
      <c r="K563" s="28"/>
    </row>
    <row r="564" spans="1:11" s="8" customFormat="1">
      <c r="A564" s="30" t="s">
        <v>39</v>
      </c>
      <c r="B564" s="31" t="s">
        <v>40</v>
      </c>
      <c r="C564" s="33">
        <f>SUM(C565:C569)</f>
        <v>11000</v>
      </c>
      <c r="D564" s="33">
        <f t="shared" ref="D564:K564" si="171">SUM(D565:D569)</f>
        <v>11000</v>
      </c>
      <c r="E564" s="33">
        <f t="shared" si="171"/>
        <v>2163.56</v>
      </c>
      <c r="F564" s="33">
        <f t="shared" si="171"/>
        <v>4500</v>
      </c>
      <c r="G564" s="33">
        <f t="shared" si="171"/>
        <v>17500</v>
      </c>
      <c r="H564" s="33">
        <f t="shared" si="171"/>
        <v>19000</v>
      </c>
      <c r="I564" s="33">
        <f t="shared" si="171"/>
        <v>8000</v>
      </c>
      <c r="J564" s="33">
        <f t="shared" si="171"/>
        <v>12000</v>
      </c>
      <c r="K564" s="33">
        <f t="shared" si="171"/>
        <v>0</v>
      </c>
    </row>
    <row r="565" spans="1:11" s="8" customFormat="1">
      <c r="A565" s="27" t="s">
        <v>41</v>
      </c>
      <c r="B565" s="27" t="s">
        <v>42</v>
      </c>
      <c r="C565" s="28">
        <v>1500</v>
      </c>
      <c r="D565" s="28">
        <v>1500</v>
      </c>
      <c r="E565" s="29">
        <v>288.8</v>
      </c>
      <c r="F565" s="28">
        <v>1500</v>
      </c>
      <c r="G565" s="28">
        <v>1000</v>
      </c>
      <c r="H565" s="28"/>
      <c r="I565" s="28">
        <f t="shared" si="164"/>
        <v>-1500</v>
      </c>
      <c r="J565" s="28"/>
      <c r="K565" s="28"/>
    </row>
    <row r="566" spans="1:11" s="8" customFormat="1">
      <c r="A566" s="27" t="s">
        <v>65</v>
      </c>
      <c r="B566" s="27" t="s">
        <v>66</v>
      </c>
      <c r="C566" s="28"/>
      <c r="D566" s="28"/>
      <c r="E566" s="29"/>
      <c r="F566" s="28"/>
      <c r="G566" s="28"/>
      <c r="H566" s="28"/>
      <c r="I566" s="28">
        <f t="shared" si="164"/>
        <v>0</v>
      </c>
      <c r="J566" s="28">
        <v>2000</v>
      </c>
      <c r="K566" s="28"/>
    </row>
    <row r="567" spans="1:11" s="8" customFormat="1">
      <c r="A567" s="27" t="s">
        <v>69</v>
      </c>
      <c r="B567" s="27" t="s">
        <v>70</v>
      </c>
      <c r="C567" s="28">
        <v>500</v>
      </c>
      <c r="D567" s="28">
        <v>500</v>
      </c>
      <c r="E567" s="28"/>
      <c r="F567" s="28"/>
      <c r="G567" s="28">
        <v>500</v>
      </c>
      <c r="H567" s="28"/>
      <c r="I567" s="28">
        <f t="shared" si="164"/>
        <v>-500</v>
      </c>
      <c r="J567" s="28">
        <v>8000</v>
      </c>
      <c r="K567" s="28"/>
    </row>
    <row r="568" spans="1:11" s="8" customFormat="1">
      <c r="A568" s="27" t="s">
        <v>73</v>
      </c>
      <c r="B568" s="27" t="s">
        <v>74</v>
      </c>
      <c r="C568" s="28">
        <v>1500</v>
      </c>
      <c r="D568" s="28">
        <v>1500</v>
      </c>
      <c r="E568" s="28"/>
      <c r="F568" s="28">
        <v>2000</v>
      </c>
      <c r="G568" s="28">
        <v>5000</v>
      </c>
      <c r="H568" s="28">
        <v>19000</v>
      </c>
      <c r="I568" s="28">
        <f t="shared" si="164"/>
        <v>17500</v>
      </c>
      <c r="J568" s="28">
        <v>2000</v>
      </c>
      <c r="K568" s="28"/>
    </row>
    <row r="569" spans="1:11" s="8" customFormat="1">
      <c r="A569" s="27" t="s">
        <v>75</v>
      </c>
      <c r="B569" s="27" t="s">
        <v>76</v>
      </c>
      <c r="C569" s="28">
        <v>7500</v>
      </c>
      <c r="D569" s="28">
        <v>7500</v>
      </c>
      <c r="E569" s="29">
        <v>1874.76</v>
      </c>
      <c r="F569" s="28">
        <v>1000</v>
      </c>
      <c r="G569" s="28">
        <v>11000</v>
      </c>
      <c r="H569" s="28"/>
      <c r="I569" s="28">
        <f t="shared" si="164"/>
        <v>-7500</v>
      </c>
      <c r="J569" s="28"/>
      <c r="K569" s="28"/>
    </row>
    <row r="570" spans="1:11" s="12" customFormat="1" ht="20.399999999999999">
      <c r="A570" s="89" t="s">
        <v>258</v>
      </c>
      <c r="B570" s="90" t="s">
        <v>259</v>
      </c>
      <c r="C570" s="11">
        <f>SUM(C571)</f>
        <v>147000</v>
      </c>
      <c r="D570" s="11">
        <f t="shared" ref="D570:K570" si="172">SUM(D571)</f>
        <v>147000</v>
      </c>
      <c r="E570" s="11">
        <f t="shared" si="172"/>
        <v>11648.25</v>
      </c>
      <c r="F570" s="11">
        <f t="shared" si="172"/>
        <v>147000</v>
      </c>
      <c r="G570" s="11">
        <f t="shared" si="172"/>
        <v>147000</v>
      </c>
      <c r="H570" s="11">
        <f t="shared" si="172"/>
        <v>135000</v>
      </c>
      <c r="I570" s="11">
        <f t="shared" si="172"/>
        <v>-12000</v>
      </c>
      <c r="J570" s="11">
        <f t="shared" si="172"/>
        <v>135000</v>
      </c>
      <c r="K570" s="11">
        <f t="shared" si="172"/>
        <v>135000</v>
      </c>
    </row>
    <row r="571" spans="1:11" s="8" customFormat="1">
      <c r="A571" s="69" t="s">
        <v>307</v>
      </c>
      <c r="B571" s="69" t="s">
        <v>320</v>
      </c>
      <c r="C571" s="69">
        <f>SUM(C572,C574)</f>
        <v>147000</v>
      </c>
      <c r="D571" s="69">
        <f t="shared" ref="D571:K571" si="173">SUM(D572,D574)</f>
        <v>147000</v>
      </c>
      <c r="E571" s="69">
        <f t="shared" si="173"/>
        <v>11648.25</v>
      </c>
      <c r="F571" s="69">
        <f t="shared" si="173"/>
        <v>147000</v>
      </c>
      <c r="G571" s="69">
        <f t="shared" si="173"/>
        <v>147000</v>
      </c>
      <c r="H571" s="69">
        <f t="shared" si="173"/>
        <v>135000</v>
      </c>
      <c r="I571" s="69">
        <f t="shared" si="173"/>
        <v>-12000</v>
      </c>
      <c r="J571" s="69">
        <f t="shared" si="173"/>
        <v>135000</v>
      </c>
      <c r="K571" s="69">
        <f t="shared" si="173"/>
        <v>135000</v>
      </c>
    </row>
    <row r="572" spans="1:11" s="8" customFormat="1">
      <c r="A572" s="30" t="s">
        <v>27</v>
      </c>
      <c r="B572" s="31" t="s">
        <v>28</v>
      </c>
      <c r="C572" s="33">
        <f>SUM(C573)</f>
        <v>27000</v>
      </c>
      <c r="D572" s="33">
        <f t="shared" ref="D572:K572" si="174">SUM(D573)</f>
        <v>27000</v>
      </c>
      <c r="E572" s="33">
        <f t="shared" si="174"/>
        <v>0</v>
      </c>
      <c r="F572" s="33">
        <f t="shared" si="174"/>
        <v>27000</v>
      </c>
      <c r="G572" s="33">
        <f t="shared" si="174"/>
        <v>27000</v>
      </c>
      <c r="H572" s="33">
        <f t="shared" si="174"/>
        <v>40000</v>
      </c>
      <c r="I572" s="33">
        <f t="shared" si="174"/>
        <v>13000</v>
      </c>
      <c r="J572" s="33">
        <f t="shared" si="174"/>
        <v>40000</v>
      </c>
      <c r="K572" s="33">
        <f t="shared" si="174"/>
        <v>40000</v>
      </c>
    </row>
    <row r="573" spans="1:11" s="87" customFormat="1">
      <c r="A573" s="27" t="s">
        <v>29</v>
      </c>
      <c r="B573" s="27" t="s">
        <v>30</v>
      </c>
      <c r="C573" s="57">
        <v>27000</v>
      </c>
      <c r="D573" s="57">
        <v>27000</v>
      </c>
      <c r="E573" s="57"/>
      <c r="F573" s="57">
        <v>27000</v>
      </c>
      <c r="G573" s="57">
        <v>27000</v>
      </c>
      <c r="H573" s="57">
        <v>40000</v>
      </c>
      <c r="I573" s="57">
        <f t="shared" si="164"/>
        <v>13000</v>
      </c>
      <c r="J573" s="57">
        <v>40000</v>
      </c>
      <c r="K573" s="57">
        <v>40000</v>
      </c>
    </row>
    <row r="574" spans="1:11" s="8" customFormat="1">
      <c r="A574" s="30" t="s">
        <v>39</v>
      </c>
      <c r="B574" s="31" t="s">
        <v>40</v>
      </c>
      <c r="C574" s="33">
        <f>SUM(C575:C583)</f>
        <v>120000</v>
      </c>
      <c r="D574" s="33">
        <f t="shared" ref="D574:K574" si="175">SUM(D575:D583)</f>
        <v>120000</v>
      </c>
      <c r="E574" s="33">
        <f t="shared" si="175"/>
        <v>11648.25</v>
      </c>
      <c r="F574" s="33">
        <f t="shared" si="175"/>
        <v>120000</v>
      </c>
      <c r="G574" s="33">
        <f t="shared" si="175"/>
        <v>120000</v>
      </c>
      <c r="H574" s="33">
        <f t="shared" si="175"/>
        <v>95000</v>
      </c>
      <c r="I574" s="33">
        <f t="shared" si="175"/>
        <v>-25000</v>
      </c>
      <c r="J574" s="33">
        <f t="shared" si="175"/>
        <v>95000</v>
      </c>
      <c r="K574" s="33">
        <f t="shared" si="175"/>
        <v>95000</v>
      </c>
    </row>
    <row r="575" spans="1:11" s="87" customFormat="1">
      <c r="A575" s="27" t="s">
        <v>41</v>
      </c>
      <c r="B575" s="27" t="s">
        <v>42</v>
      </c>
      <c r="C575" s="57">
        <v>20000</v>
      </c>
      <c r="D575" s="57">
        <v>20000</v>
      </c>
      <c r="E575" s="86">
        <v>3330.71</v>
      </c>
      <c r="F575" s="57">
        <v>20000</v>
      </c>
      <c r="G575" s="57">
        <v>20000</v>
      </c>
      <c r="H575" s="57">
        <v>20000</v>
      </c>
      <c r="I575" s="57">
        <f t="shared" si="164"/>
        <v>0</v>
      </c>
      <c r="J575" s="57">
        <v>20000</v>
      </c>
      <c r="K575" s="57">
        <v>20000</v>
      </c>
    </row>
    <row r="576" spans="1:11" s="87" customFormat="1">
      <c r="A576" s="27" t="s">
        <v>43</v>
      </c>
      <c r="B576" s="27" t="s">
        <v>44</v>
      </c>
      <c r="C576" s="57">
        <v>1000</v>
      </c>
      <c r="D576" s="57">
        <v>1000</v>
      </c>
      <c r="E576" s="57"/>
      <c r="F576" s="57">
        <v>1000</v>
      </c>
      <c r="G576" s="57">
        <v>1000</v>
      </c>
      <c r="H576" s="57">
        <v>1000</v>
      </c>
      <c r="I576" s="57">
        <f t="shared" si="164"/>
        <v>0</v>
      </c>
      <c r="J576" s="57">
        <v>1000</v>
      </c>
      <c r="K576" s="57">
        <v>1000</v>
      </c>
    </row>
    <row r="577" spans="1:11" s="87" customFormat="1">
      <c r="A577" s="27" t="s">
        <v>49</v>
      </c>
      <c r="B577" s="27" t="s">
        <v>50</v>
      </c>
      <c r="C577" s="57">
        <v>1000</v>
      </c>
      <c r="D577" s="57">
        <v>1000</v>
      </c>
      <c r="E577" s="86">
        <v>342</v>
      </c>
      <c r="F577" s="57">
        <v>1000</v>
      </c>
      <c r="G577" s="57">
        <v>1000</v>
      </c>
      <c r="H577" s="57">
        <v>1000</v>
      </c>
      <c r="I577" s="57">
        <f t="shared" si="164"/>
        <v>0</v>
      </c>
      <c r="J577" s="57">
        <v>1000</v>
      </c>
      <c r="K577" s="57">
        <v>1000</v>
      </c>
    </row>
    <row r="578" spans="1:11" s="87" customFormat="1">
      <c r="A578" s="27" t="s">
        <v>65</v>
      </c>
      <c r="B578" s="27" t="s">
        <v>66</v>
      </c>
      <c r="C578" s="57">
        <v>4000</v>
      </c>
      <c r="D578" s="57">
        <v>4000</v>
      </c>
      <c r="E578" s="57"/>
      <c r="F578" s="57">
        <v>4000</v>
      </c>
      <c r="G578" s="57">
        <v>4000</v>
      </c>
      <c r="H578" s="57">
        <v>4000</v>
      </c>
      <c r="I578" s="57">
        <f t="shared" si="164"/>
        <v>0</v>
      </c>
      <c r="J578" s="57">
        <v>4000</v>
      </c>
      <c r="K578" s="57">
        <v>4000</v>
      </c>
    </row>
    <row r="579" spans="1:11" s="87" customFormat="1">
      <c r="A579" s="27" t="s">
        <v>69</v>
      </c>
      <c r="B579" s="27" t="s">
        <v>70</v>
      </c>
      <c r="C579" s="57">
        <v>7000</v>
      </c>
      <c r="D579" s="57">
        <v>7000</v>
      </c>
      <c r="E579" s="57"/>
      <c r="F579" s="57">
        <v>7000</v>
      </c>
      <c r="G579" s="57">
        <v>7000</v>
      </c>
      <c r="H579" s="57">
        <v>7000</v>
      </c>
      <c r="I579" s="57">
        <f t="shared" si="164"/>
        <v>0</v>
      </c>
      <c r="J579" s="57">
        <v>7000</v>
      </c>
      <c r="K579" s="57">
        <v>7000</v>
      </c>
    </row>
    <row r="580" spans="1:11" s="87" customFormat="1">
      <c r="A580" s="27" t="s">
        <v>73</v>
      </c>
      <c r="B580" s="27" t="s">
        <v>74</v>
      </c>
      <c r="C580" s="57">
        <v>71000</v>
      </c>
      <c r="D580" s="57">
        <v>71000</v>
      </c>
      <c r="E580" s="86">
        <v>6111.16</v>
      </c>
      <c r="F580" s="57">
        <v>71000</v>
      </c>
      <c r="G580" s="57">
        <v>71000</v>
      </c>
      <c r="H580" s="57">
        <v>40000</v>
      </c>
      <c r="I580" s="57">
        <f t="shared" si="164"/>
        <v>-31000</v>
      </c>
      <c r="J580" s="57">
        <v>40000</v>
      </c>
      <c r="K580" s="57">
        <v>40000</v>
      </c>
    </row>
    <row r="581" spans="1:11" s="87" customFormat="1">
      <c r="A581" s="27" t="s">
        <v>75</v>
      </c>
      <c r="B581" s="27" t="s">
        <v>76</v>
      </c>
      <c r="C581" s="57">
        <v>4000</v>
      </c>
      <c r="D581" s="57">
        <v>4000</v>
      </c>
      <c r="E581" s="86">
        <v>1864.38</v>
      </c>
      <c r="F581" s="57">
        <v>4000</v>
      </c>
      <c r="G581" s="57">
        <v>4000</v>
      </c>
      <c r="H581" s="57">
        <v>10000</v>
      </c>
      <c r="I581" s="57">
        <f t="shared" si="164"/>
        <v>6000</v>
      </c>
      <c r="J581" s="57">
        <v>10000</v>
      </c>
      <c r="K581" s="57">
        <v>10000</v>
      </c>
    </row>
    <row r="582" spans="1:11" s="87" customFormat="1">
      <c r="A582" s="27" t="s">
        <v>78</v>
      </c>
      <c r="B582" s="27" t="s">
        <v>77</v>
      </c>
      <c r="C582" s="57">
        <v>5000</v>
      </c>
      <c r="D582" s="57">
        <v>5000</v>
      </c>
      <c r="E582" s="57"/>
      <c r="F582" s="57">
        <v>5000</v>
      </c>
      <c r="G582" s="57">
        <v>5000</v>
      </c>
      <c r="H582" s="57">
        <v>5000</v>
      </c>
      <c r="I582" s="57">
        <f t="shared" si="164"/>
        <v>0</v>
      </c>
      <c r="J582" s="57">
        <v>5000</v>
      </c>
      <c r="K582" s="57">
        <v>5000</v>
      </c>
    </row>
    <row r="583" spans="1:11" s="87" customFormat="1">
      <c r="A583" s="27" t="s">
        <v>84</v>
      </c>
      <c r="B583" s="27" t="s">
        <v>85</v>
      </c>
      <c r="C583" s="57">
        <v>7000</v>
      </c>
      <c r="D583" s="57">
        <v>7000</v>
      </c>
      <c r="E583" s="57"/>
      <c r="F583" s="57">
        <v>7000</v>
      </c>
      <c r="G583" s="57">
        <v>7000</v>
      </c>
      <c r="H583" s="57">
        <v>7000</v>
      </c>
      <c r="I583" s="57">
        <f t="shared" si="164"/>
        <v>0</v>
      </c>
      <c r="J583" s="57">
        <v>7000</v>
      </c>
      <c r="K583" s="57">
        <v>7000</v>
      </c>
    </row>
    <row r="584" spans="1:11" s="12" customFormat="1">
      <c r="A584" s="89" t="s">
        <v>260</v>
      </c>
      <c r="B584" s="90" t="s">
        <v>261</v>
      </c>
      <c r="C584" s="11">
        <f>SUM(C585)</f>
        <v>1537000</v>
      </c>
      <c r="D584" s="11">
        <f t="shared" ref="D584:K585" si="176">SUM(D585)</f>
        <v>1537000</v>
      </c>
      <c r="E584" s="11">
        <f t="shared" si="176"/>
        <v>0</v>
      </c>
      <c r="F584" s="11">
        <f t="shared" si="176"/>
        <v>1537000</v>
      </c>
      <c r="G584" s="11">
        <f t="shared" si="176"/>
        <v>1537000</v>
      </c>
      <c r="H584" s="11">
        <f t="shared" si="176"/>
        <v>1537000</v>
      </c>
      <c r="I584" s="11">
        <f t="shared" si="176"/>
        <v>0</v>
      </c>
      <c r="J584" s="11">
        <f t="shared" si="176"/>
        <v>1537000</v>
      </c>
      <c r="K584" s="11">
        <f t="shared" si="176"/>
        <v>1537000</v>
      </c>
    </row>
    <row r="585" spans="1:11" s="8" customFormat="1">
      <c r="A585" s="69" t="s">
        <v>307</v>
      </c>
      <c r="B585" s="69" t="s">
        <v>320</v>
      </c>
      <c r="C585" s="69">
        <f>SUM(C586)</f>
        <v>1537000</v>
      </c>
      <c r="D585" s="69">
        <f t="shared" si="176"/>
        <v>1537000</v>
      </c>
      <c r="E585" s="69">
        <f t="shared" si="176"/>
        <v>0</v>
      </c>
      <c r="F585" s="69">
        <f t="shared" si="176"/>
        <v>1537000</v>
      </c>
      <c r="G585" s="69">
        <f t="shared" si="176"/>
        <v>1537000</v>
      </c>
      <c r="H585" s="69">
        <f t="shared" si="176"/>
        <v>1537000</v>
      </c>
      <c r="I585" s="69">
        <f t="shared" si="176"/>
        <v>0</v>
      </c>
      <c r="J585" s="69">
        <f t="shared" si="176"/>
        <v>1537000</v>
      </c>
      <c r="K585" s="69">
        <f t="shared" si="176"/>
        <v>1537000</v>
      </c>
    </row>
    <row r="586" spans="1:11" s="8" customFormat="1">
      <c r="A586" s="30" t="s">
        <v>39</v>
      </c>
      <c r="B586" s="31" t="s">
        <v>40</v>
      </c>
      <c r="C586" s="33">
        <f>SUM(C587:C591)</f>
        <v>1537000</v>
      </c>
      <c r="D586" s="33">
        <f t="shared" ref="D586:K586" si="177">SUM(D587:D591)</f>
        <v>1537000</v>
      </c>
      <c r="E586" s="33">
        <f t="shared" si="177"/>
        <v>0</v>
      </c>
      <c r="F586" s="33">
        <f t="shared" si="177"/>
        <v>1537000</v>
      </c>
      <c r="G586" s="33">
        <f t="shared" si="177"/>
        <v>1537000</v>
      </c>
      <c r="H586" s="33">
        <f t="shared" si="177"/>
        <v>1537000</v>
      </c>
      <c r="I586" s="33">
        <f t="shared" si="177"/>
        <v>0</v>
      </c>
      <c r="J586" s="33">
        <f t="shared" si="177"/>
        <v>1537000</v>
      </c>
      <c r="K586" s="33">
        <f t="shared" si="177"/>
        <v>1537000</v>
      </c>
    </row>
    <row r="587" spans="1:11" s="8" customFormat="1">
      <c r="A587" s="27" t="s">
        <v>53</v>
      </c>
      <c r="B587" s="27" t="s">
        <v>54</v>
      </c>
      <c r="C587" s="28">
        <v>50000</v>
      </c>
      <c r="D587" s="28">
        <v>50000</v>
      </c>
      <c r="E587" s="28"/>
      <c r="F587" s="28">
        <v>50000</v>
      </c>
      <c r="G587" s="28">
        <v>50000</v>
      </c>
      <c r="H587" s="28">
        <v>50000</v>
      </c>
      <c r="I587" s="28">
        <f t="shared" si="164"/>
        <v>0</v>
      </c>
      <c r="J587" s="28">
        <v>50000</v>
      </c>
      <c r="K587" s="28">
        <v>50000</v>
      </c>
    </row>
    <row r="588" spans="1:11" s="8" customFormat="1">
      <c r="A588" s="27" t="s">
        <v>55</v>
      </c>
      <c r="B588" s="27" t="s">
        <v>56</v>
      </c>
      <c r="C588" s="28">
        <v>265000</v>
      </c>
      <c r="D588" s="28">
        <v>265000</v>
      </c>
      <c r="E588" s="28"/>
      <c r="F588" s="28">
        <v>265000</v>
      </c>
      <c r="G588" s="28">
        <v>265000</v>
      </c>
      <c r="H588" s="28">
        <v>265000</v>
      </c>
      <c r="I588" s="28">
        <f t="shared" si="164"/>
        <v>0</v>
      </c>
      <c r="J588" s="28">
        <v>265000</v>
      </c>
      <c r="K588" s="28">
        <v>265000</v>
      </c>
    </row>
    <row r="589" spans="1:11" s="8" customFormat="1">
      <c r="A589" s="27" t="s">
        <v>63</v>
      </c>
      <c r="B589" s="27" t="s">
        <v>64</v>
      </c>
      <c r="C589" s="28">
        <v>797000</v>
      </c>
      <c r="D589" s="28">
        <v>797000</v>
      </c>
      <c r="E589" s="28"/>
      <c r="F589" s="28">
        <v>797000</v>
      </c>
      <c r="G589" s="28">
        <v>797000</v>
      </c>
      <c r="H589" s="28">
        <v>797000</v>
      </c>
      <c r="I589" s="28">
        <f t="shared" si="164"/>
        <v>0</v>
      </c>
      <c r="J589" s="28">
        <v>797000</v>
      </c>
      <c r="K589" s="28">
        <v>797000</v>
      </c>
    </row>
    <row r="590" spans="1:11" s="8" customFormat="1">
      <c r="A590" s="27" t="s">
        <v>75</v>
      </c>
      <c r="B590" s="27" t="s">
        <v>76</v>
      </c>
      <c r="C590" s="28">
        <v>27000</v>
      </c>
      <c r="D590" s="28">
        <v>27000</v>
      </c>
      <c r="E590" s="28"/>
      <c r="F590" s="28">
        <v>27000</v>
      </c>
      <c r="G590" s="28">
        <v>27000</v>
      </c>
      <c r="H590" s="28">
        <v>27000</v>
      </c>
      <c r="I590" s="28">
        <f t="shared" si="164"/>
        <v>0</v>
      </c>
      <c r="J590" s="28">
        <v>27000</v>
      </c>
      <c r="K590" s="28">
        <v>27000</v>
      </c>
    </row>
    <row r="591" spans="1:11" s="8" customFormat="1">
      <c r="A591" s="27" t="s">
        <v>78</v>
      </c>
      <c r="B591" s="27" t="s">
        <v>77</v>
      </c>
      <c r="C591" s="28">
        <v>398000</v>
      </c>
      <c r="D591" s="28">
        <v>398000</v>
      </c>
      <c r="E591" s="28"/>
      <c r="F591" s="28">
        <v>398000</v>
      </c>
      <c r="G591" s="28">
        <v>398000</v>
      </c>
      <c r="H591" s="28">
        <v>398000</v>
      </c>
      <c r="I591" s="28">
        <f t="shared" si="164"/>
        <v>0</v>
      </c>
      <c r="J591" s="28">
        <v>398000</v>
      </c>
      <c r="K591" s="28">
        <v>398000</v>
      </c>
    </row>
    <row r="592" spans="1:11" s="19" customFormat="1" ht="30.6">
      <c r="A592" s="91" t="s">
        <v>262</v>
      </c>
      <c r="B592" s="92" t="s">
        <v>263</v>
      </c>
      <c r="C592" s="15">
        <f>SUM(C593)</f>
        <v>213500</v>
      </c>
      <c r="D592" s="15">
        <f t="shared" ref="D592:K592" si="178">SUM(D593)</f>
        <v>213500</v>
      </c>
      <c r="E592" s="15">
        <f t="shared" si="178"/>
        <v>3226.03</v>
      </c>
      <c r="F592" s="15">
        <f t="shared" si="178"/>
        <v>370500</v>
      </c>
      <c r="G592" s="15">
        <f t="shared" si="178"/>
        <v>0</v>
      </c>
      <c r="H592" s="15">
        <f t="shared" si="178"/>
        <v>424000</v>
      </c>
      <c r="I592" s="15">
        <f t="shared" si="178"/>
        <v>210500</v>
      </c>
      <c r="J592" s="15">
        <f t="shared" si="178"/>
        <v>0</v>
      </c>
      <c r="K592" s="15">
        <f t="shared" si="178"/>
        <v>0</v>
      </c>
    </row>
    <row r="593" spans="1:11" s="8" customFormat="1">
      <c r="A593" s="69" t="s">
        <v>307</v>
      </c>
      <c r="B593" s="69" t="s">
        <v>320</v>
      </c>
      <c r="C593" s="69">
        <f>SUM(C594,C596,C602)</f>
        <v>213500</v>
      </c>
      <c r="D593" s="69">
        <f t="shared" ref="D593:K593" si="179">SUM(D594,D596,D602)</f>
        <v>213500</v>
      </c>
      <c r="E593" s="69">
        <f t="shared" si="179"/>
        <v>3226.03</v>
      </c>
      <c r="F593" s="69">
        <f t="shared" si="179"/>
        <v>370500</v>
      </c>
      <c r="G593" s="69">
        <f t="shared" si="179"/>
        <v>0</v>
      </c>
      <c r="H593" s="69">
        <f t="shared" si="179"/>
        <v>424000</v>
      </c>
      <c r="I593" s="69">
        <f t="shared" si="179"/>
        <v>210500</v>
      </c>
      <c r="J593" s="69">
        <f t="shared" si="179"/>
        <v>0</v>
      </c>
      <c r="K593" s="69">
        <f t="shared" si="179"/>
        <v>0</v>
      </c>
    </row>
    <row r="594" spans="1:11" s="8" customFormat="1">
      <c r="A594" s="30" t="s">
        <v>27</v>
      </c>
      <c r="B594" s="31" t="s">
        <v>28</v>
      </c>
      <c r="C594" s="33">
        <f>SUM(C595)</f>
        <v>118000</v>
      </c>
      <c r="D594" s="33">
        <f t="shared" ref="D594:K594" si="180">SUM(D595)</f>
        <v>118000</v>
      </c>
      <c r="E594" s="33">
        <f t="shared" si="180"/>
        <v>2772.88</v>
      </c>
      <c r="F594" s="33">
        <f t="shared" si="180"/>
        <v>118000</v>
      </c>
      <c r="G594" s="33">
        <f t="shared" si="180"/>
        <v>0</v>
      </c>
      <c r="H594" s="33">
        <f t="shared" si="180"/>
        <v>118000</v>
      </c>
      <c r="I594" s="33">
        <f t="shared" si="180"/>
        <v>0</v>
      </c>
      <c r="J594" s="33">
        <f t="shared" si="180"/>
        <v>0</v>
      </c>
      <c r="K594" s="33">
        <f t="shared" si="180"/>
        <v>0</v>
      </c>
    </row>
    <row r="595" spans="1:11" s="87" customFormat="1">
      <c r="A595" s="27" t="s">
        <v>29</v>
      </c>
      <c r="B595" s="27" t="s">
        <v>30</v>
      </c>
      <c r="C595" s="57">
        <v>118000</v>
      </c>
      <c r="D595" s="57">
        <v>118000</v>
      </c>
      <c r="E595" s="86">
        <v>2772.88</v>
      </c>
      <c r="F595" s="57">
        <v>118000</v>
      </c>
      <c r="G595" s="57"/>
      <c r="H595" s="57">
        <v>118000</v>
      </c>
      <c r="I595" s="57">
        <f t="shared" si="164"/>
        <v>0</v>
      </c>
      <c r="J595" s="57"/>
      <c r="K595" s="57"/>
    </row>
    <row r="596" spans="1:11" s="8" customFormat="1">
      <c r="A596" s="30" t="s">
        <v>39</v>
      </c>
      <c r="B596" s="31" t="s">
        <v>40</v>
      </c>
      <c r="C596" s="33">
        <f>SUM(C597:C601)</f>
        <v>54500</v>
      </c>
      <c r="D596" s="33">
        <f t="shared" ref="D596:K596" si="181">SUM(D597:D601)</f>
        <v>54500</v>
      </c>
      <c r="E596" s="33">
        <f t="shared" si="181"/>
        <v>453.15</v>
      </c>
      <c r="F596" s="33">
        <f t="shared" si="181"/>
        <v>89000</v>
      </c>
      <c r="G596" s="33">
        <f t="shared" si="181"/>
        <v>0</v>
      </c>
      <c r="H596" s="33">
        <f t="shared" si="181"/>
        <v>101500</v>
      </c>
      <c r="I596" s="33">
        <f t="shared" si="181"/>
        <v>47000</v>
      </c>
      <c r="J596" s="33">
        <f t="shared" si="181"/>
        <v>0</v>
      </c>
      <c r="K596" s="33">
        <f t="shared" si="181"/>
        <v>0</v>
      </c>
    </row>
    <row r="597" spans="1:11" s="87" customFormat="1">
      <c r="A597" s="27" t="s">
        <v>41</v>
      </c>
      <c r="B597" s="27" t="s">
        <v>42</v>
      </c>
      <c r="C597" s="57">
        <v>9500</v>
      </c>
      <c r="D597" s="57">
        <v>9500</v>
      </c>
      <c r="E597" s="86">
        <v>453.15</v>
      </c>
      <c r="F597" s="57">
        <v>9500</v>
      </c>
      <c r="G597" s="57"/>
      <c r="H597" s="57">
        <v>13000</v>
      </c>
      <c r="I597" s="57">
        <f t="shared" si="164"/>
        <v>3500</v>
      </c>
      <c r="J597" s="57"/>
      <c r="K597" s="57"/>
    </row>
    <row r="598" spans="1:11" s="87" customFormat="1">
      <c r="A598" s="27" t="s">
        <v>69</v>
      </c>
      <c r="B598" s="27" t="s">
        <v>70</v>
      </c>
      <c r="C598" s="57">
        <v>2000</v>
      </c>
      <c r="D598" s="57">
        <v>2000</v>
      </c>
      <c r="E598" s="57"/>
      <c r="F598" s="57">
        <v>2000</v>
      </c>
      <c r="G598" s="57"/>
      <c r="H598" s="57">
        <v>3000</v>
      </c>
      <c r="I598" s="57">
        <f t="shared" si="164"/>
        <v>1000</v>
      </c>
      <c r="J598" s="57"/>
      <c r="K598" s="57"/>
    </row>
    <row r="599" spans="1:11" s="87" customFormat="1">
      <c r="A599" s="27" t="s">
        <v>73</v>
      </c>
      <c r="B599" s="27" t="s">
        <v>74</v>
      </c>
      <c r="C599" s="57">
        <v>22000</v>
      </c>
      <c r="D599" s="57">
        <v>22000</v>
      </c>
      <c r="E599" s="57"/>
      <c r="F599" s="57">
        <v>53000</v>
      </c>
      <c r="G599" s="57"/>
      <c r="H599" s="57">
        <v>61000</v>
      </c>
      <c r="I599" s="57">
        <f t="shared" si="164"/>
        <v>39000</v>
      </c>
      <c r="J599" s="57"/>
      <c r="K599" s="57"/>
    </row>
    <row r="600" spans="1:11" s="87" customFormat="1">
      <c r="A600" s="27" t="s">
        <v>75</v>
      </c>
      <c r="B600" s="27" t="s">
        <v>76</v>
      </c>
      <c r="C600" s="57">
        <v>19500</v>
      </c>
      <c r="D600" s="57">
        <v>19500</v>
      </c>
      <c r="E600" s="57"/>
      <c r="F600" s="57">
        <v>23000</v>
      </c>
      <c r="G600" s="57"/>
      <c r="H600" s="57">
        <v>23000</v>
      </c>
      <c r="I600" s="57">
        <f t="shared" si="164"/>
        <v>3500</v>
      </c>
      <c r="J600" s="57"/>
      <c r="K600" s="57"/>
    </row>
    <row r="601" spans="1:11" s="87" customFormat="1">
      <c r="A601" s="27" t="s">
        <v>78</v>
      </c>
      <c r="B601" s="27" t="s">
        <v>77</v>
      </c>
      <c r="C601" s="57">
        <v>1500</v>
      </c>
      <c r="D601" s="57">
        <v>1500</v>
      </c>
      <c r="E601" s="57"/>
      <c r="F601" s="57">
        <v>1500</v>
      </c>
      <c r="G601" s="57"/>
      <c r="H601" s="57">
        <v>1500</v>
      </c>
      <c r="I601" s="57">
        <f t="shared" ref="I601:I613" si="182">H601-D601</f>
        <v>0</v>
      </c>
      <c r="J601" s="57"/>
      <c r="K601" s="57"/>
    </row>
    <row r="602" spans="1:11" s="8" customFormat="1">
      <c r="A602" s="30" t="s">
        <v>134</v>
      </c>
      <c r="B602" s="31" t="s">
        <v>135</v>
      </c>
      <c r="C602" s="33">
        <f>SUM(C603)</f>
        <v>41000</v>
      </c>
      <c r="D602" s="33">
        <f t="shared" ref="D602:K602" si="183">SUM(D603)</f>
        <v>41000</v>
      </c>
      <c r="E602" s="33">
        <f t="shared" si="183"/>
        <v>0</v>
      </c>
      <c r="F602" s="33">
        <f t="shared" si="183"/>
        <v>163500</v>
      </c>
      <c r="G602" s="33">
        <f t="shared" si="183"/>
        <v>0</v>
      </c>
      <c r="H602" s="33">
        <f>SUM(H603)</f>
        <v>204500</v>
      </c>
      <c r="I602" s="33">
        <f t="shared" si="183"/>
        <v>163500</v>
      </c>
      <c r="J602" s="33">
        <f t="shared" si="183"/>
        <v>0</v>
      </c>
      <c r="K602" s="33">
        <f t="shared" si="183"/>
        <v>0</v>
      </c>
    </row>
    <row r="603" spans="1:11" s="87" customFormat="1">
      <c r="A603" s="27" t="s">
        <v>137</v>
      </c>
      <c r="B603" s="27" t="s">
        <v>136</v>
      </c>
      <c r="C603" s="57">
        <v>41000</v>
      </c>
      <c r="D603" s="57">
        <v>41000</v>
      </c>
      <c r="E603" s="57"/>
      <c r="F603" s="57">
        <v>163500</v>
      </c>
      <c r="G603" s="57"/>
      <c r="H603" s="57">
        <v>204500</v>
      </c>
      <c r="I603" s="57">
        <f t="shared" si="182"/>
        <v>163500</v>
      </c>
      <c r="J603" s="57"/>
      <c r="K603" s="57"/>
    </row>
    <row r="604" spans="1:11" s="19" customFormat="1" ht="20.399999999999999">
      <c r="A604" s="91" t="s">
        <v>264</v>
      </c>
      <c r="B604" s="92" t="s">
        <v>265</v>
      </c>
      <c r="C604" s="15">
        <f>SUM(C605)</f>
        <v>17000</v>
      </c>
      <c r="D604" s="15">
        <f t="shared" ref="D604:K605" si="184">SUM(D605)</f>
        <v>17000</v>
      </c>
      <c r="E604" s="15">
        <f t="shared" si="184"/>
        <v>42652.17</v>
      </c>
      <c r="F604" s="15">
        <f t="shared" si="184"/>
        <v>0</v>
      </c>
      <c r="G604" s="15">
        <f t="shared" si="184"/>
        <v>0</v>
      </c>
      <c r="H604" s="15">
        <f t="shared" si="184"/>
        <v>0</v>
      </c>
      <c r="I604" s="15">
        <f t="shared" si="184"/>
        <v>-17000</v>
      </c>
      <c r="J604" s="15">
        <f t="shared" si="184"/>
        <v>0</v>
      </c>
      <c r="K604" s="15">
        <f t="shared" si="184"/>
        <v>0</v>
      </c>
    </row>
    <row r="605" spans="1:11" s="8" customFormat="1">
      <c r="A605" s="67" t="s">
        <v>110</v>
      </c>
      <c r="B605" s="68" t="s">
        <v>111</v>
      </c>
      <c r="C605" s="69">
        <f>SUM(C606)</f>
        <v>17000</v>
      </c>
      <c r="D605" s="69">
        <f t="shared" si="184"/>
        <v>17000</v>
      </c>
      <c r="E605" s="69">
        <f t="shared" si="184"/>
        <v>42652.17</v>
      </c>
      <c r="F605" s="69">
        <f t="shared" si="184"/>
        <v>0</v>
      </c>
      <c r="G605" s="69">
        <f t="shared" si="184"/>
        <v>0</v>
      </c>
      <c r="H605" s="69">
        <f t="shared" si="184"/>
        <v>0</v>
      </c>
      <c r="I605" s="69">
        <f t="shared" si="184"/>
        <v>-17000</v>
      </c>
      <c r="J605" s="69">
        <f t="shared" si="184"/>
        <v>0</v>
      </c>
      <c r="K605" s="69">
        <f t="shared" si="184"/>
        <v>0</v>
      </c>
    </row>
    <row r="606" spans="1:11" s="8" customFormat="1">
      <c r="A606" s="30" t="s">
        <v>39</v>
      </c>
      <c r="B606" s="31" t="s">
        <v>40</v>
      </c>
      <c r="C606" s="33">
        <f>SUM(C607:C613)</f>
        <v>17000</v>
      </c>
      <c r="D606" s="33">
        <f t="shared" ref="D606:K606" si="185">SUM(D607:D613)</f>
        <v>17000</v>
      </c>
      <c r="E606" s="33">
        <f t="shared" si="185"/>
        <v>42652.17</v>
      </c>
      <c r="F606" s="33">
        <f t="shared" si="185"/>
        <v>0</v>
      </c>
      <c r="G606" s="33">
        <f t="shared" si="185"/>
        <v>0</v>
      </c>
      <c r="H606" s="33">
        <f t="shared" si="185"/>
        <v>0</v>
      </c>
      <c r="I606" s="33">
        <f t="shared" si="185"/>
        <v>-17000</v>
      </c>
      <c r="J606" s="33">
        <f t="shared" si="185"/>
        <v>0</v>
      </c>
      <c r="K606" s="33">
        <f t="shared" si="185"/>
        <v>0</v>
      </c>
    </row>
    <row r="607" spans="1:11" s="87" customFormat="1">
      <c r="A607" s="27" t="s">
        <v>41</v>
      </c>
      <c r="B607" s="27" t="s">
        <v>42</v>
      </c>
      <c r="C607" s="57">
        <v>2000</v>
      </c>
      <c r="D607" s="57">
        <v>2000</v>
      </c>
      <c r="E607" s="86">
        <v>3629.82</v>
      </c>
      <c r="F607" s="57"/>
      <c r="G607" s="57"/>
      <c r="H607" s="57"/>
      <c r="I607" s="57">
        <f t="shared" si="182"/>
        <v>-2000</v>
      </c>
      <c r="J607" s="57"/>
      <c r="K607" s="57"/>
    </row>
    <row r="608" spans="1:11" s="87" customFormat="1">
      <c r="A608" s="27" t="s">
        <v>51</v>
      </c>
      <c r="B608" s="27" t="s">
        <v>52</v>
      </c>
      <c r="C608" s="57">
        <v>500</v>
      </c>
      <c r="D608" s="57">
        <v>500</v>
      </c>
      <c r="E608" s="86">
        <v>105.18</v>
      </c>
      <c r="F608" s="57"/>
      <c r="G608" s="57"/>
      <c r="H608" s="57"/>
      <c r="I608" s="57">
        <f t="shared" si="182"/>
        <v>-500</v>
      </c>
      <c r="J608" s="57"/>
      <c r="K608" s="57"/>
    </row>
    <row r="609" spans="1:13" s="87" customFormat="1">
      <c r="A609" s="27" t="s">
        <v>65</v>
      </c>
      <c r="B609" s="27" t="s">
        <v>66</v>
      </c>
      <c r="C609" s="57">
        <v>500</v>
      </c>
      <c r="D609" s="57">
        <v>500</v>
      </c>
      <c r="E609" s="86">
        <v>6315.6</v>
      </c>
      <c r="F609" s="57"/>
      <c r="G609" s="57"/>
      <c r="H609" s="57"/>
      <c r="I609" s="57">
        <f t="shared" si="182"/>
        <v>-500</v>
      </c>
      <c r="J609" s="57"/>
      <c r="K609" s="57"/>
    </row>
    <row r="610" spans="1:13" s="87" customFormat="1">
      <c r="A610" s="27" t="s">
        <v>69</v>
      </c>
      <c r="B610" s="27" t="s">
        <v>70</v>
      </c>
      <c r="C610" s="57">
        <v>3000</v>
      </c>
      <c r="D610" s="57">
        <v>3000</v>
      </c>
      <c r="E610" s="57"/>
      <c r="F610" s="57"/>
      <c r="G610" s="57"/>
      <c r="H610" s="57"/>
      <c r="I610" s="57">
        <f t="shared" si="182"/>
        <v>-3000</v>
      </c>
      <c r="J610" s="57"/>
      <c r="K610" s="57"/>
    </row>
    <row r="611" spans="1:13" s="87" customFormat="1">
      <c r="A611" s="27" t="s">
        <v>73</v>
      </c>
      <c r="B611" s="27" t="s">
        <v>74</v>
      </c>
      <c r="C611" s="88">
        <v>0</v>
      </c>
      <c r="D611" s="88">
        <v>0</v>
      </c>
      <c r="E611" s="86">
        <v>10250.5</v>
      </c>
      <c r="F611" s="57"/>
      <c r="G611" s="57"/>
      <c r="H611" s="57"/>
      <c r="I611" s="57">
        <f t="shared" si="182"/>
        <v>0</v>
      </c>
      <c r="J611" s="57"/>
      <c r="K611" s="57"/>
    </row>
    <row r="612" spans="1:13" s="87" customFormat="1">
      <c r="A612" s="27" t="s">
        <v>75</v>
      </c>
      <c r="B612" s="27" t="s">
        <v>76</v>
      </c>
      <c r="C612" s="57">
        <v>9000</v>
      </c>
      <c r="D612" s="57">
        <v>9000</v>
      </c>
      <c r="E612" s="86">
        <v>22270.16</v>
      </c>
      <c r="F612" s="57"/>
      <c r="G612" s="57"/>
      <c r="H612" s="57"/>
      <c r="I612" s="57">
        <f t="shared" si="182"/>
        <v>-9000</v>
      </c>
      <c r="J612" s="57"/>
      <c r="K612" s="57"/>
    </row>
    <row r="613" spans="1:13" s="87" customFormat="1">
      <c r="A613" s="27" t="s">
        <v>78</v>
      </c>
      <c r="B613" s="27" t="s">
        <v>77</v>
      </c>
      <c r="C613" s="57">
        <v>2000</v>
      </c>
      <c r="D613" s="57">
        <v>2000</v>
      </c>
      <c r="E613" s="86">
        <v>80.91</v>
      </c>
      <c r="F613" s="57"/>
      <c r="G613" s="57"/>
      <c r="H613" s="57"/>
      <c r="I613" s="57">
        <f t="shared" si="182"/>
        <v>-2000</v>
      </c>
      <c r="J613" s="57"/>
      <c r="K613" s="57"/>
    </row>
    <row r="614" spans="1:13" s="46" customFormat="1" ht="10.199999999999999"/>
    <row r="615" spans="1:13" s="46" customFormat="1" ht="10.199999999999999"/>
    <row r="616" spans="1:13" s="6" customFormat="1" ht="15.75" customHeight="1">
      <c r="A616" s="70" t="s">
        <v>27</v>
      </c>
      <c r="B616" s="71" t="s">
        <v>107</v>
      </c>
      <c r="C616" s="72">
        <f t="shared" ref="C616:K616" si="186">SUBTOTAL(9,C9,C476)</f>
        <v>2610000</v>
      </c>
      <c r="D616" s="72">
        <f t="shared" si="186"/>
        <v>2610000</v>
      </c>
      <c r="E616" s="72">
        <f t="shared" si="186"/>
        <v>613177.82999999996</v>
      </c>
      <c r="F616" s="72">
        <f t="shared" si="186"/>
        <v>2610000</v>
      </c>
      <c r="G616" s="72">
        <f t="shared" si="186"/>
        <v>2610000</v>
      </c>
      <c r="H616" s="72">
        <f t="shared" si="186"/>
        <v>3200000</v>
      </c>
      <c r="I616" s="72">
        <f t="shared" si="186"/>
        <v>590000</v>
      </c>
      <c r="J616" s="72">
        <f t="shared" si="186"/>
        <v>3200000</v>
      </c>
      <c r="K616" s="72">
        <f t="shared" si="186"/>
        <v>3200000</v>
      </c>
      <c r="L616" s="130"/>
    </row>
    <row r="617" spans="1:13">
      <c r="A617" s="77" t="s">
        <v>108</v>
      </c>
      <c r="B617" s="78" t="s">
        <v>109</v>
      </c>
      <c r="C617" s="79">
        <f t="shared" ref="C617:K617" si="187">SUBTOTAL(9,C12,C83,C97,C183)</f>
        <v>68384000</v>
      </c>
      <c r="D617" s="79">
        <f t="shared" si="187"/>
        <v>68384000</v>
      </c>
      <c r="E617" s="79">
        <f t="shared" si="187"/>
        <v>21728534.309999999</v>
      </c>
      <c r="F617" s="79">
        <f t="shared" si="187"/>
        <v>68448500</v>
      </c>
      <c r="G617" s="79">
        <f t="shared" si="187"/>
        <v>57530500</v>
      </c>
      <c r="H617" s="79">
        <f t="shared" si="187"/>
        <v>68050000</v>
      </c>
      <c r="I617" s="79">
        <f t="shared" si="187"/>
        <v>-334000</v>
      </c>
      <c r="J617" s="79">
        <f t="shared" si="187"/>
        <v>62131000</v>
      </c>
      <c r="K617" s="79">
        <f t="shared" si="187"/>
        <v>62216000</v>
      </c>
      <c r="L617" s="131"/>
    </row>
    <row r="618" spans="1:13" ht="20.399999999999999">
      <c r="A618" s="67" t="s">
        <v>309</v>
      </c>
      <c r="B618" s="68" t="s">
        <v>310</v>
      </c>
      <c r="C618" s="68"/>
      <c r="D618" s="68"/>
      <c r="E618" s="68"/>
      <c r="F618" s="68"/>
      <c r="G618" s="68"/>
      <c r="H618" s="124">
        <f>SUBTOTAL(9,H37,H87)</f>
        <v>5330000</v>
      </c>
      <c r="I618" s="68"/>
      <c r="J618" s="124">
        <f>SUBTOTAL(9,J37,J87)</f>
        <v>730000</v>
      </c>
      <c r="K618" s="124">
        <f>SUBTOTAL(9,K37,K87)</f>
        <v>730000</v>
      </c>
    </row>
    <row r="619" spans="1:13">
      <c r="A619" s="67" t="s">
        <v>307</v>
      </c>
      <c r="B619" s="69" t="s">
        <v>320</v>
      </c>
      <c r="C619" s="69">
        <f>SUBTOTAL(9,C15,C50,C135,C481,C486,C505,C519,C593,C605)</f>
        <v>2686500</v>
      </c>
      <c r="D619" s="69">
        <f>SUBTOTAL(9,D15,D50,D135,D481,D486,D505,D519,D593,D605)</f>
        <v>2686500</v>
      </c>
      <c r="E619" s="69">
        <f>SUBTOTAL(9,E15,E50,E135,E481,E486,E505,E519,E593,E605)</f>
        <v>536710.02</v>
      </c>
      <c r="F619" s="69">
        <f>SUBTOTAL(9,F15,F50,F135,F481,F486,F505,F519,F593,F605)</f>
        <v>2006500</v>
      </c>
      <c r="G619" s="69">
        <f>SUBTOTAL(9,G15,G50,G135,G481,G486,G505,G519,G593,G605)</f>
        <v>1614000</v>
      </c>
      <c r="H619" s="69">
        <f>SUBTOTAL(9,H15,H50,H135,H246,H256,H270,H421,H481,H486,H505,H519,H571,H585,H593,H605)</f>
        <v>89100000</v>
      </c>
      <c r="I619" s="69">
        <f>SUBTOTAL(9,I15,I50,I135,I481,I486,I505,I519,I593,I605)</f>
        <v>901500</v>
      </c>
      <c r="J619" s="69">
        <f>SUBTOTAL(9,J15,J50,J135,J246,J256,J270,J421,J481,J486,J505,J519,J571,J585,J593,J605)</f>
        <v>4819000</v>
      </c>
      <c r="K619" s="69">
        <f>SUBTOTAL(9,K15,K50,K135,K246,K256,K270,K421,K481,K486,K505,K519,K571,K585,K593,K605)</f>
        <v>4827000</v>
      </c>
      <c r="L619" s="131"/>
      <c r="M619">
        <f>4317000-21583</f>
        <v>4295417</v>
      </c>
    </row>
    <row r="620" spans="1:13" ht="20.399999999999999">
      <c r="A620" s="67" t="s">
        <v>304</v>
      </c>
      <c r="B620" s="68" t="s">
        <v>305</v>
      </c>
      <c r="C620" s="69"/>
      <c r="D620" s="69"/>
      <c r="E620" s="69"/>
      <c r="F620" s="69"/>
      <c r="G620" s="69"/>
      <c r="H620" s="69">
        <f>SUBTOTAL(9,H179)</f>
        <v>0</v>
      </c>
      <c r="I620" s="69"/>
      <c r="J620" s="69">
        <f>SUBTOTAL(9,J179)</f>
        <v>0</v>
      </c>
      <c r="K620" s="69">
        <f>SUBTOTAL(9,K179)</f>
        <v>0</v>
      </c>
    </row>
    <row r="621" spans="1:13">
      <c r="A621" s="61" t="s">
        <v>126</v>
      </c>
      <c r="B621" s="62" t="s">
        <v>127</v>
      </c>
      <c r="C621" s="63">
        <f>SUBTOTAL(9,C41,C87,C93,C146,C444)</f>
        <v>5325000</v>
      </c>
      <c r="D621" s="63">
        <f>SUBTOTAL(9,D41,D87,D93,D146,D444)</f>
        <v>5325000</v>
      </c>
      <c r="E621" s="63">
        <f>SUBTOTAL(9,E41,E87,E93,E146,E444)</f>
        <v>36881.57</v>
      </c>
      <c r="F621" s="63">
        <f>SUBTOTAL(9,F41,F87,F93,F146,F444)</f>
        <v>164000</v>
      </c>
      <c r="G621" s="63">
        <f>SUBTOTAL(9,G41,G87,G93,G146,G444)</f>
        <v>164000</v>
      </c>
      <c r="H621" s="63">
        <f>SUBTOTAL(9,H41,H93,H146,H444)</f>
        <v>149000</v>
      </c>
      <c r="I621" s="63">
        <f>SUBTOTAL(9,I41,I87,I93,I146,I444)</f>
        <v>-576000</v>
      </c>
      <c r="J621" s="63">
        <f>SUBTOTAL(9,J41,J93,J146,J444)</f>
        <v>149000</v>
      </c>
      <c r="K621" s="63">
        <f>SUBTOTAL(9,K41,K93,K146,K444)</f>
        <v>149000</v>
      </c>
    </row>
    <row r="622" spans="1:13" ht="20.399999999999999">
      <c r="A622" s="83" t="s">
        <v>311</v>
      </c>
      <c r="B622" s="84" t="s">
        <v>312</v>
      </c>
      <c r="C622" s="85" t="e">
        <f>SUBTOTAL(9,#REF!,C175,C284,C308,C413,C440,C457,C501,C561)</f>
        <v>#REF!</v>
      </c>
      <c r="D622" s="85" t="e">
        <f>SUBTOTAL(9,#REF!,D175,D284,D308,D413,D440,D457,D501,D561)</f>
        <v>#REF!</v>
      </c>
      <c r="E622" s="85" t="e">
        <f>SUBTOTAL(9,#REF!,E175,E284,E308,E413,E440,E457,E501,E561)</f>
        <v>#REF!</v>
      </c>
      <c r="F622" s="85" t="e">
        <f>SUBTOTAL(9,#REF!,F175,F284,F308,F413,F440,F457,F501,F561)</f>
        <v>#REF!</v>
      </c>
      <c r="G622" s="85" t="e">
        <f>SUBTOTAL(9,#REF!,G175,G284,G308,G413,G440,G457,G501,G561)</f>
        <v>#REF!</v>
      </c>
      <c r="H622" s="85">
        <f>SUBTOTAL(9,H175,H284,H308,H413,H440,H457,H501,H561)</f>
        <v>42784200</v>
      </c>
      <c r="I622" s="85">
        <f>SUBTOTAL(9,I175,I284,I308,I413,I440,I457,I501,I561)</f>
        <v>-6136400</v>
      </c>
      <c r="J622" s="85">
        <f>SUBTOTAL(9,J175,J284,J308,J413,J440,J457,J501,J561)</f>
        <v>35521500</v>
      </c>
      <c r="K622" s="85">
        <f>SUBTOTAL(9,K175,K284,K308,K413,K440,K457,K501,K561)</f>
        <v>15049000</v>
      </c>
    </row>
    <row r="623" spans="1:13" ht="20.399999999999999">
      <c r="A623" s="36" t="s">
        <v>319</v>
      </c>
      <c r="B623" s="37" t="s">
        <v>321</v>
      </c>
      <c r="C623" s="38">
        <f>SUBTOTAL(9,C179,C218,C246,C256,C270,C353,C381,C421,C531,C571,C585)</f>
        <v>140745450</v>
      </c>
      <c r="D623" s="38">
        <f>SUBTOTAL(9,D179,D218,D246,D256,D270,D353,D381,D421,D531,D571,D585)</f>
        <v>140745450</v>
      </c>
      <c r="E623" s="38">
        <f>SUBTOTAL(9,E179,E218,E246,E256,E270,E353,E381,E421,E531,E571,E585)</f>
        <v>11645428.629999999</v>
      </c>
      <c r="F623" s="38">
        <f>SUBTOTAL(9,F179,F218,F246,F256,F270,F353,F381,F421,F531,F571,F585)</f>
        <v>89016513</v>
      </c>
      <c r="G623" s="38">
        <f>SUBTOTAL(9,G179,G218,G246,G256,G270,G353,G381,G421,G531,G571,G585)</f>
        <v>45582000</v>
      </c>
      <c r="H623" s="38">
        <f>SUBTOTAL(9,H381,H531)</f>
        <v>43143000</v>
      </c>
      <c r="I623" s="38">
        <f>SUBTOTAL(9,I179,I218,I246,I256,I270,I353,I381,I421,I531,I571,I585)</f>
        <v>156905550</v>
      </c>
      <c r="J623" s="38">
        <f>SUBTOTAL(9,J381,J531)</f>
        <v>21433000</v>
      </c>
      <c r="K623" s="38">
        <f>SUBTOTAL(9,K381,K531)</f>
        <v>11415000</v>
      </c>
    </row>
    <row r="624" spans="1:13" ht="20.399999999999999">
      <c r="A624" s="36" t="s">
        <v>306</v>
      </c>
      <c r="B624" s="37" t="s">
        <v>315</v>
      </c>
      <c r="C624" s="38"/>
      <c r="D624" s="38"/>
      <c r="E624" s="38"/>
      <c r="F624" s="38"/>
      <c r="G624" s="38"/>
      <c r="H624" s="38">
        <f>SUBTOTAL(9,H353)</f>
        <v>18355000</v>
      </c>
      <c r="I624" s="38"/>
      <c r="J624" s="38">
        <f t="shared" ref="J624:K624" si="188">SUBTOTAL(9,J353)</f>
        <v>9645000</v>
      </c>
      <c r="K624" s="38">
        <f t="shared" si="188"/>
        <v>7415000</v>
      </c>
    </row>
    <row r="625" spans="1:12" ht="20.399999999999999">
      <c r="A625" s="36" t="s">
        <v>314</v>
      </c>
      <c r="B625" s="37" t="s">
        <v>325</v>
      </c>
      <c r="C625" s="38"/>
      <c r="D625" s="38"/>
      <c r="E625" s="38"/>
      <c r="F625" s="38"/>
      <c r="G625" s="38"/>
      <c r="H625" s="38">
        <f>SUBTOTAL(9,H218)</f>
        <v>150646000</v>
      </c>
      <c r="I625" s="38"/>
      <c r="J625" s="38">
        <f>SUBTOTAL(9,J218)</f>
        <v>93617000</v>
      </c>
      <c r="K625" s="38">
        <f>SUBTOTAL(9,K218)</f>
        <v>101687000</v>
      </c>
    </row>
    <row r="626" spans="1:12">
      <c r="A626" s="80" t="s">
        <v>220</v>
      </c>
      <c r="B626" s="81" t="s">
        <v>221</v>
      </c>
      <c r="C626" s="82">
        <f t="shared" ref="C626:K626" si="189">SUBTOTAL(9,C339)</f>
        <v>1099000</v>
      </c>
      <c r="D626" s="82">
        <f t="shared" si="189"/>
        <v>1099000</v>
      </c>
      <c r="E626" s="82">
        <f t="shared" si="189"/>
        <v>210787.23</v>
      </c>
      <c r="F626" s="82">
        <f t="shared" si="189"/>
        <v>0</v>
      </c>
      <c r="G626" s="82">
        <f t="shared" si="189"/>
        <v>0</v>
      </c>
      <c r="H626" s="82">
        <f t="shared" si="189"/>
        <v>4590000</v>
      </c>
      <c r="I626" s="82">
        <f t="shared" si="189"/>
        <v>3491000</v>
      </c>
      <c r="J626" s="82">
        <f t="shared" si="189"/>
        <v>0</v>
      </c>
      <c r="K626" s="82">
        <f t="shared" si="189"/>
        <v>0</v>
      </c>
    </row>
    <row r="627" spans="1:12">
      <c r="A627" s="58" t="s">
        <v>128</v>
      </c>
      <c r="B627" s="59" t="s">
        <v>129</v>
      </c>
      <c r="C627" s="60">
        <f t="shared" ref="C627:K627" si="190">SUBTOTAL(9,C45)</f>
        <v>182000</v>
      </c>
      <c r="D627" s="60">
        <f t="shared" si="190"/>
        <v>182000</v>
      </c>
      <c r="E627" s="60">
        <f t="shared" si="190"/>
        <v>0</v>
      </c>
      <c r="F627" s="60">
        <f t="shared" si="190"/>
        <v>182000</v>
      </c>
      <c r="G627" s="60">
        <f t="shared" si="190"/>
        <v>182000</v>
      </c>
      <c r="H627" s="60">
        <f t="shared" si="190"/>
        <v>182000</v>
      </c>
      <c r="I627" s="60">
        <f t="shared" si="190"/>
        <v>0</v>
      </c>
      <c r="J627" s="60">
        <f t="shared" si="190"/>
        <v>182000</v>
      </c>
      <c r="K627" s="60">
        <f t="shared" si="190"/>
        <v>182000</v>
      </c>
    </row>
    <row r="628" spans="1:12">
      <c r="A628" s="64" t="s">
        <v>222</v>
      </c>
      <c r="B628" s="65" t="s">
        <v>223</v>
      </c>
      <c r="C628" s="66">
        <f t="shared" ref="C628:K628" si="191">SUBTOTAL(9,C349)</f>
        <v>0</v>
      </c>
      <c r="D628" s="66">
        <f t="shared" si="191"/>
        <v>15600000</v>
      </c>
      <c r="E628" s="66">
        <f t="shared" si="191"/>
        <v>3388499.14</v>
      </c>
      <c r="F628" s="66">
        <f t="shared" si="191"/>
        <v>0</v>
      </c>
      <c r="G628" s="66">
        <f t="shared" si="191"/>
        <v>0</v>
      </c>
      <c r="H628" s="66">
        <f t="shared" si="191"/>
        <v>0</v>
      </c>
      <c r="I628" s="66">
        <f t="shared" si="191"/>
        <v>-15600000</v>
      </c>
      <c r="J628" s="66">
        <f t="shared" si="191"/>
        <v>0</v>
      </c>
      <c r="K628" s="66">
        <f t="shared" si="191"/>
        <v>0</v>
      </c>
    </row>
    <row r="629" spans="1:12" s="95" customFormat="1" ht="24" customHeight="1">
      <c r="A629" s="93"/>
      <c r="B629" s="93" t="s">
        <v>268</v>
      </c>
      <c r="C629" s="94" t="e">
        <f>SUM(C616:C628)</f>
        <v>#REF!</v>
      </c>
      <c r="D629" s="94" t="e">
        <f t="shared" ref="D629:K629" si="192">SUM(D616:D628)</f>
        <v>#REF!</v>
      </c>
      <c r="E629" s="94" t="e">
        <f t="shared" si="192"/>
        <v>#REF!</v>
      </c>
      <c r="F629" s="94" t="e">
        <f t="shared" si="192"/>
        <v>#REF!</v>
      </c>
      <c r="G629" s="94" t="e">
        <f t="shared" si="192"/>
        <v>#REF!</v>
      </c>
      <c r="H629" s="94">
        <f t="shared" si="192"/>
        <v>425529200</v>
      </c>
      <c r="I629" s="94">
        <f t="shared" si="192"/>
        <v>139241650</v>
      </c>
      <c r="J629" s="94">
        <f t="shared" si="192"/>
        <v>231427500</v>
      </c>
      <c r="K629" s="94">
        <f t="shared" si="192"/>
        <v>206870000</v>
      </c>
    </row>
    <row r="631" spans="1:12">
      <c r="A631" s="47">
        <f>'izvor 11+12'!A458</f>
        <v>0</v>
      </c>
      <c r="B631" s="48" t="str">
        <f>'izvor 11+12'!B458</f>
        <v>Izvor 11</v>
      </c>
      <c r="C631" s="49">
        <f>'izvor 11+12'!C458</f>
        <v>1143752179</v>
      </c>
      <c r="D631" s="49">
        <f>'izvor 11+12'!D458</f>
        <v>1189072179</v>
      </c>
      <c r="E631" s="49">
        <f>'izvor 11+12'!E458</f>
        <v>460921230.56999993</v>
      </c>
      <c r="F631" s="49">
        <f>'izvor 11+12'!F458</f>
        <v>1141652239</v>
      </c>
      <c r="G631" s="49">
        <f>'izvor 11+12'!G458</f>
        <v>1134418841</v>
      </c>
      <c r="H631" s="49">
        <f>'izvor 11+12'!H458</f>
        <v>1231827150</v>
      </c>
      <c r="I631" s="49">
        <f>'izvor 11+12'!I458</f>
        <v>44754971</v>
      </c>
      <c r="J631" s="49">
        <f>'izvor 11+12'!J458</f>
        <v>1219609750</v>
      </c>
      <c r="K631" s="49">
        <f>'izvor 11+12'!K458</f>
        <v>1226269250</v>
      </c>
    </row>
    <row r="632" spans="1:12">
      <c r="A632" s="51">
        <f>'izvor 11+12'!A459</f>
        <v>0</v>
      </c>
      <c r="B632" s="52" t="str">
        <f>'izvor 11+12'!B459</f>
        <v>Izvor 12</v>
      </c>
      <c r="C632" s="53">
        <f>'izvor 11+12'!C459</f>
        <v>60964000</v>
      </c>
      <c r="D632" s="53">
        <f>'izvor 11+12'!D459</f>
        <v>22428000</v>
      </c>
      <c r="E632" s="53">
        <f>'izvor 11+12'!E459</f>
        <v>13441085.520000001</v>
      </c>
      <c r="F632" s="53">
        <f>'izvor 11+12'!F459</f>
        <v>19648500</v>
      </c>
      <c r="G632" s="53">
        <f>'izvor 11+12'!G459</f>
        <v>7016000</v>
      </c>
      <c r="H632" s="53">
        <f>'izvor 11+12'!H459</f>
        <v>57000300</v>
      </c>
      <c r="I632" s="53">
        <f>'izvor 11+12'!I459</f>
        <v>35109300</v>
      </c>
      <c r="J632" s="53">
        <f>'izvor 11+12'!J459</f>
        <v>28125200</v>
      </c>
      <c r="K632" s="53">
        <f>'izvor 11+12'!K459</f>
        <v>22716500</v>
      </c>
    </row>
    <row r="633" spans="1:12">
      <c r="A633" s="54">
        <f>'izvor 11+12'!A460</f>
        <v>0</v>
      </c>
      <c r="B633" s="54" t="str">
        <f>'izvor 11+12'!B460</f>
        <v>UKUPNO LIMITI 11+12</v>
      </c>
      <c r="C633" s="55">
        <f>'izvor 11+12'!C460</f>
        <v>1204716179</v>
      </c>
      <c r="D633" s="55">
        <f>'izvor 11+12'!D460</f>
        <v>1211500179</v>
      </c>
      <c r="E633" s="55">
        <f>'izvor 11+12'!E460</f>
        <v>474362316.08999991</v>
      </c>
      <c r="F633" s="55">
        <f>'izvor 11+12'!F460</f>
        <v>1161300739</v>
      </c>
      <c r="G633" s="55">
        <f>'izvor 11+12'!G460</f>
        <v>1141434841</v>
      </c>
      <c r="H633" s="55">
        <f>'izvor 11+12'!H460</f>
        <v>1288827450</v>
      </c>
      <c r="I633" s="55">
        <f>'izvor 11+12'!I460</f>
        <v>79864271</v>
      </c>
      <c r="J633" s="55">
        <f>'izvor 11+12'!J460</f>
        <v>1247734950</v>
      </c>
      <c r="K633" s="55">
        <f>'izvor 11+12'!K460</f>
        <v>1248985750</v>
      </c>
      <c r="L633" s="5"/>
    </row>
    <row r="635" spans="1:12" ht="24" customHeight="1">
      <c r="A635" s="96"/>
      <c r="B635" s="96" t="s">
        <v>269</v>
      </c>
      <c r="C635" s="97" t="e">
        <f>SUM(C629,C633)</f>
        <v>#REF!</v>
      </c>
      <c r="D635" s="97" t="e">
        <f t="shared" ref="D635:K635" si="193">SUM(D629,D633)</f>
        <v>#REF!</v>
      </c>
      <c r="E635" s="97" t="e">
        <f t="shared" si="193"/>
        <v>#REF!</v>
      </c>
      <c r="F635" s="97" t="e">
        <f t="shared" si="193"/>
        <v>#REF!</v>
      </c>
      <c r="G635" s="97" t="e">
        <f t="shared" si="193"/>
        <v>#REF!</v>
      </c>
      <c r="H635" s="97">
        <f t="shared" si="193"/>
        <v>1714356650</v>
      </c>
      <c r="I635" s="97">
        <f t="shared" si="193"/>
        <v>219105921</v>
      </c>
      <c r="J635" s="97">
        <f t="shared" si="193"/>
        <v>1479162450</v>
      </c>
      <c r="K635" s="97">
        <f t="shared" si="193"/>
        <v>1455855750</v>
      </c>
    </row>
  </sheetData>
  <autoFilter ref="A5:K613"/>
  <mergeCells count="6">
    <mergeCell ref="A2:K2"/>
    <mergeCell ref="L40:M40"/>
    <mergeCell ref="L41:M41"/>
    <mergeCell ref="L43:M43"/>
    <mergeCell ref="L44:M44"/>
    <mergeCell ref="L39:M3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K12" sqref="K12"/>
    </sheetView>
  </sheetViews>
  <sheetFormatPr defaultRowHeight="14.4"/>
  <cols>
    <col min="2" max="2" width="34" customWidth="1"/>
    <col min="3" max="3" width="12.77734375" hidden="1" customWidth="1"/>
    <col min="4" max="4" width="14.21875" customWidth="1"/>
    <col min="5" max="5" width="14.77734375" customWidth="1"/>
    <col min="6" max="6" width="14.21875" customWidth="1"/>
  </cols>
  <sheetData>
    <row r="1" spans="1:8" ht="15.6">
      <c r="F1" s="184" t="s">
        <v>328</v>
      </c>
    </row>
    <row r="2" spans="1:8" ht="50.4" customHeight="1">
      <c r="A2" s="197" t="s">
        <v>329</v>
      </c>
      <c r="B2" s="197"/>
      <c r="C2" s="197"/>
      <c r="D2" s="197"/>
      <c r="E2" s="197"/>
      <c r="F2" s="197"/>
    </row>
    <row r="3" spans="1:8" ht="15" thickBot="1">
      <c r="F3" s="104"/>
    </row>
    <row r="4" spans="1:8" ht="46.05" customHeight="1">
      <c r="A4" s="195" t="s">
        <v>281</v>
      </c>
      <c r="B4" s="196"/>
      <c r="C4" s="154" t="s">
        <v>286</v>
      </c>
      <c r="D4" s="154" t="s">
        <v>289</v>
      </c>
      <c r="E4" s="154" t="s">
        <v>287</v>
      </c>
      <c r="F4" s="155" t="s">
        <v>285</v>
      </c>
    </row>
    <row r="5" spans="1:8" ht="19.95" customHeight="1">
      <c r="A5" s="136" t="s">
        <v>11</v>
      </c>
      <c r="B5" s="137" t="s">
        <v>12</v>
      </c>
      <c r="C5" s="138">
        <f>C6</f>
        <v>1227100179</v>
      </c>
      <c r="D5" s="138">
        <f>D6</f>
        <v>1714356650</v>
      </c>
      <c r="E5" s="138">
        <f t="shared" ref="E5:F5" si="0">E6</f>
        <v>1479162450</v>
      </c>
      <c r="F5" s="139">
        <f t="shared" si="0"/>
        <v>1455855750</v>
      </c>
    </row>
    <row r="6" spans="1:8" ht="19.95" customHeight="1">
      <c r="A6" s="140" t="s">
        <v>13</v>
      </c>
      <c r="B6" s="141" t="s">
        <v>14</v>
      </c>
      <c r="C6" s="142">
        <f>C11</f>
        <v>1227100179</v>
      </c>
      <c r="D6" s="142">
        <f>D11+D12</f>
        <v>1714356650</v>
      </c>
      <c r="E6" s="142">
        <f t="shared" ref="E6:F6" si="1">E11+E12</f>
        <v>1479162450</v>
      </c>
      <c r="F6" s="143">
        <f t="shared" si="1"/>
        <v>1455855750</v>
      </c>
    </row>
    <row r="7" spans="1:8" ht="19.95" customHeight="1">
      <c r="A7" s="144" t="s">
        <v>290</v>
      </c>
      <c r="B7" s="145" t="s">
        <v>282</v>
      </c>
      <c r="C7" s="146">
        <f>C8+C9</f>
        <v>1211500179</v>
      </c>
      <c r="D7" s="146">
        <f t="shared" ref="D7:F7" si="2">D8+D9</f>
        <v>1288827450</v>
      </c>
      <c r="E7" s="146">
        <f t="shared" si="2"/>
        <v>1247734950</v>
      </c>
      <c r="F7" s="147">
        <f t="shared" si="2"/>
        <v>1248985750</v>
      </c>
    </row>
    <row r="8" spans="1:8" ht="19.95" customHeight="1">
      <c r="A8" s="148"/>
      <c r="B8" s="149" t="s">
        <v>283</v>
      </c>
      <c r="C8" s="150">
        <f>'izvor 11+12'!D458</f>
        <v>1189072179</v>
      </c>
      <c r="D8" s="150">
        <f>'izvor 11+12'!H458</f>
        <v>1231827150</v>
      </c>
      <c r="E8" s="150">
        <f>'izvor 11+12'!J458</f>
        <v>1219609750</v>
      </c>
      <c r="F8" s="151">
        <f>'izvor 11+12'!K458</f>
        <v>1226269250</v>
      </c>
    </row>
    <row r="9" spans="1:8" ht="19.95" customHeight="1">
      <c r="A9" s="148"/>
      <c r="B9" s="149" t="s">
        <v>284</v>
      </c>
      <c r="C9" s="150">
        <f>'izvor 11+12'!D459</f>
        <v>22428000</v>
      </c>
      <c r="D9" s="150">
        <f>'izvor 11+12'!H459</f>
        <v>57000300</v>
      </c>
      <c r="E9" s="150">
        <f>'izvor 11+12'!J459</f>
        <v>28125200</v>
      </c>
      <c r="F9" s="151">
        <f>'izvor 11+12'!K459</f>
        <v>22716500</v>
      </c>
      <c r="H9" s="5"/>
    </row>
    <row r="10" spans="1:8" s="103" customFormat="1" ht="19.95" customHeight="1">
      <c r="A10" s="144" t="s">
        <v>290</v>
      </c>
      <c r="B10" s="152" t="s">
        <v>291</v>
      </c>
      <c r="C10" s="146">
        <f>'izvor 11+12'!D464</f>
        <v>15600000</v>
      </c>
      <c r="D10" s="146"/>
      <c r="E10" s="145"/>
      <c r="F10" s="153"/>
    </row>
    <row r="11" spans="1:8" s="103" customFormat="1" ht="19.95" customHeight="1">
      <c r="A11" s="156"/>
      <c r="B11" s="157" t="s">
        <v>288</v>
      </c>
      <c r="C11" s="158">
        <f>C7+C10</f>
        <v>1227100179</v>
      </c>
      <c r="D11" s="158">
        <f t="shared" ref="D11:F11" si="3">D7+D10</f>
        <v>1288827450</v>
      </c>
      <c r="E11" s="158">
        <f t="shared" si="3"/>
        <v>1247734950</v>
      </c>
      <c r="F11" s="159">
        <f t="shared" si="3"/>
        <v>1248985750</v>
      </c>
    </row>
    <row r="12" spans="1:8" s="103" customFormat="1" ht="19.95" customHeight="1">
      <c r="A12" s="156"/>
      <c r="B12" s="157" t="s">
        <v>327</v>
      </c>
      <c r="C12" s="158"/>
      <c r="D12" s="158">
        <f>D13+D14+D15+D16+D17+D18+D19+D20+D21+D22+D23+D24</f>
        <v>425529200</v>
      </c>
      <c r="E12" s="158">
        <f t="shared" ref="E12:F12" si="4">E13+E14+E15+E16+E17+E18+E19+E20+E21+E22+E23+E24</f>
        <v>231427500</v>
      </c>
      <c r="F12" s="159">
        <f t="shared" si="4"/>
        <v>206870000</v>
      </c>
    </row>
    <row r="13" spans="1:8" ht="19.95" customHeight="1">
      <c r="A13" s="160" t="s">
        <v>27</v>
      </c>
      <c r="B13" s="161" t="s">
        <v>107</v>
      </c>
      <c r="C13" s="162"/>
      <c r="D13" s="163">
        <f>'ostali izvori'!H616</f>
        <v>3200000</v>
      </c>
      <c r="E13" s="163">
        <f>'ostali izvori'!J616</f>
        <v>3200000</v>
      </c>
      <c r="F13" s="164">
        <f>'ostali izvori'!K616</f>
        <v>3200000</v>
      </c>
    </row>
    <row r="14" spans="1:8" ht="19.95" customHeight="1">
      <c r="A14" s="160" t="s">
        <v>108</v>
      </c>
      <c r="B14" s="161" t="s">
        <v>109</v>
      </c>
      <c r="C14" s="162"/>
      <c r="D14" s="163">
        <f>'ostali izvori'!H617</f>
        <v>68050000</v>
      </c>
      <c r="E14" s="163">
        <f>'ostali izvori'!J617</f>
        <v>62131000</v>
      </c>
      <c r="F14" s="164">
        <f>'ostali izvori'!K617</f>
        <v>62216000</v>
      </c>
    </row>
    <row r="15" spans="1:8" ht="19.95" customHeight="1">
      <c r="A15" s="160" t="s">
        <v>309</v>
      </c>
      <c r="B15" s="161" t="s">
        <v>310</v>
      </c>
      <c r="C15" s="162"/>
      <c r="D15" s="163">
        <f>'ostali izvori'!H618</f>
        <v>5330000</v>
      </c>
      <c r="E15" s="163">
        <f>'ostali izvori'!J618</f>
        <v>730000</v>
      </c>
      <c r="F15" s="164">
        <f>'ostali izvori'!K618</f>
        <v>730000</v>
      </c>
    </row>
    <row r="16" spans="1:8" ht="19.95" customHeight="1">
      <c r="A16" s="160" t="s">
        <v>307</v>
      </c>
      <c r="B16" s="165" t="s">
        <v>320</v>
      </c>
      <c r="C16" s="162"/>
      <c r="D16" s="163">
        <f>'ostali izvori'!H619</f>
        <v>89100000</v>
      </c>
      <c r="E16" s="163">
        <f>'ostali izvori'!J619</f>
        <v>4819000</v>
      </c>
      <c r="F16" s="164">
        <f>'ostali izvori'!K619</f>
        <v>4827000</v>
      </c>
    </row>
    <row r="17" spans="1:6" ht="19.95" customHeight="1">
      <c r="A17" s="160" t="s">
        <v>304</v>
      </c>
      <c r="B17" s="161" t="s">
        <v>305</v>
      </c>
      <c r="C17" s="162"/>
      <c r="D17" s="163"/>
      <c r="E17" s="163"/>
      <c r="F17" s="164"/>
    </row>
    <row r="18" spans="1:6" ht="19.95" customHeight="1">
      <c r="A18" s="160" t="s">
        <v>126</v>
      </c>
      <c r="B18" s="161" t="s">
        <v>127</v>
      </c>
      <c r="C18" s="162"/>
      <c r="D18" s="163">
        <f>'ostali izvori'!H621</f>
        <v>149000</v>
      </c>
      <c r="E18" s="163">
        <f>'ostali izvori'!J621</f>
        <v>149000</v>
      </c>
      <c r="F18" s="164">
        <f>'ostali izvori'!K621</f>
        <v>149000</v>
      </c>
    </row>
    <row r="19" spans="1:6" ht="19.95" customHeight="1">
      <c r="A19" s="160" t="s">
        <v>311</v>
      </c>
      <c r="B19" s="161" t="s">
        <v>312</v>
      </c>
      <c r="C19" s="162"/>
      <c r="D19" s="163">
        <f>'ostali izvori'!H622</f>
        <v>42784200</v>
      </c>
      <c r="E19" s="163">
        <f>'ostali izvori'!J622</f>
        <v>35521500</v>
      </c>
      <c r="F19" s="164">
        <f>'ostali izvori'!K622</f>
        <v>15049000</v>
      </c>
    </row>
    <row r="20" spans="1:6" ht="19.95" customHeight="1">
      <c r="A20" s="160" t="s">
        <v>319</v>
      </c>
      <c r="B20" s="161" t="s">
        <v>321</v>
      </c>
      <c r="C20" s="162"/>
      <c r="D20" s="163">
        <f>'ostali izvori'!H623</f>
        <v>43143000</v>
      </c>
      <c r="E20" s="163">
        <f>'ostali izvori'!J623</f>
        <v>21433000</v>
      </c>
      <c r="F20" s="164">
        <f>'ostali izvori'!K623</f>
        <v>11415000</v>
      </c>
    </row>
    <row r="21" spans="1:6" ht="19.95" customHeight="1">
      <c r="A21" s="160" t="s">
        <v>306</v>
      </c>
      <c r="B21" s="161" t="s">
        <v>315</v>
      </c>
      <c r="C21" s="162"/>
      <c r="D21" s="163">
        <f>'ostali izvori'!H624</f>
        <v>18355000</v>
      </c>
      <c r="E21" s="163">
        <f>'ostali izvori'!J624</f>
        <v>9645000</v>
      </c>
      <c r="F21" s="164">
        <f>'ostali izvori'!K624</f>
        <v>7415000</v>
      </c>
    </row>
    <row r="22" spans="1:6" ht="19.95" customHeight="1">
      <c r="A22" s="160" t="s">
        <v>314</v>
      </c>
      <c r="B22" s="161" t="s">
        <v>325</v>
      </c>
      <c r="C22" s="162"/>
      <c r="D22" s="163">
        <f>'ostali izvori'!H625</f>
        <v>150646000</v>
      </c>
      <c r="E22" s="163">
        <f>'ostali izvori'!J625</f>
        <v>93617000</v>
      </c>
      <c r="F22" s="164">
        <f>'ostali izvori'!K625</f>
        <v>101687000</v>
      </c>
    </row>
    <row r="23" spans="1:6" ht="19.95" customHeight="1">
      <c r="A23" s="160" t="s">
        <v>220</v>
      </c>
      <c r="B23" s="161" t="s">
        <v>221</v>
      </c>
      <c r="C23" s="162"/>
      <c r="D23" s="163">
        <f>'ostali izvori'!H626</f>
        <v>4590000</v>
      </c>
      <c r="E23" s="163"/>
      <c r="F23" s="164"/>
    </row>
    <row r="24" spans="1:6" ht="19.95" customHeight="1" thickBot="1">
      <c r="A24" s="166" t="s">
        <v>128</v>
      </c>
      <c r="B24" s="167" t="s">
        <v>129</v>
      </c>
      <c r="C24" s="168"/>
      <c r="D24" s="169">
        <f>'ostali izvori'!H627</f>
        <v>182000</v>
      </c>
      <c r="E24" s="169">
        <f>'ostali izvori'!J627</f>
        <v>182000</v>
      </c>
      <c r="F24" s="170">
        <f>'ostali izvori'!K627</f>
        <v>182000</v>
      </c>
    </row>
  </sheetData>
  <mergeCells count="2">
    <mergeCell ref="A4:B4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izvor 11+12</vt:lpstr>
      <vt:lpstr>ostali izvori</vt:lpstr>
      <vt:lpstr>rekapitulacija za sve izvore</vt:lpstr>
      <vt:lpstr>'izvor 11+12'!Ispis_naslova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Zanoški Martina</dc:creator>
  <cp:lastModifiedBy>Markota Tamara</cp:lastModifiedBy>
  <cp:lastPrinted>2025-12-22T11:44:44Z</cp:lastPrinted>
  <dcterms:created xsi:type="dcterms:W3CDTF">2025-05-21T09:19:14Z</dcterms:created>
  <dcterms:modified xsi:type="dcterms:W3CDTF">2026-02-23T14:18:26Z</dcterms:modified>
</cp:coreProperties>
</file>